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735" tabRatio="796" firstSheet="1" activeTab="2"/>
  </bookViews>
  <sheets>
    <sheet name="Veranst." sheetId="1" r:id="rId1"/>
    <sheet name="Teilnehmer" sheetId="2" r:id="rId2"/>
    <sheet name="Kl.1" sheetId="3" r:id="rId3"/>
    <sheet name="Kl.2" sheetId="4" r:id="rId4"/>
    <sheet name="Kl.3" sheetId="5" r:id="rId5"/>
    <sheet name="Kl.4" sheetId="6" r:id="rId6"/>
    <sheet name="Kl.5" sheetId="7" r:id="rId7"/>
    <sheet name="Kl.6" sheetId="8" r:id="rId8"/>
    <sheet name="Kl.7" sheetId="9" r:id="rId9"/>
    <sheet name="Kl.8" sheetId="10" r:id="rId10"/>
    <sheet name="Kl.9" sheetId="11" r:id="rId11"/>
    <sheet name="Kl.10" sheetId="12" r:id="rId12"/>
    <sheet name="Kl.11" sheetId="13" r:id="rId13"/>
    <sheet name="Kl.12" sheetId="14" r:id="rId14"/>
    <sheet name="Kl.13" sheetId="15" r:id="rId15"/>
    <sheet name="Kl.14" sheetId="16" r:id="rId16"/>
    <sheet name="Kl.15" sheetId="17" r:id="rId17"/>
    <sheet name="Gruppe 1" sheetId="18" r:id="rId18"/>
    <sheet name="Gruppe 2" sheetId="19" r:id="rId19"/>
    <sheet name="Gruppe 3" sheetId="20" r:id="rId20"/>
    <sheet name="HeckMo" sheetId="21" r:id="rId21"/>
    <sheet name="Nachwuchswertung" sheetId="22" r:id="rId22"/>
    <sheet name="Plakettenstammdaten" sheetId="23" state="hidden" r:id="rId23"/>
  </sheets>
  <definedNames>
    <definedName name="Bronze_10">'Plakettenstammdaten'!$O$7</definedName>
    <definedName name="Bronze_11">'Plakettenstammdaten'!$P$7</definedName>
    <definedName name="Bronze_12">'Plakettenstammdaten'!$Q$7</definedName>
    <definedName name="Bronze_13">'Plakettenstammdaten'!$R$7</definedName>
    <definedName name="Bronze_14">'Plakettenstammdaten'!$S$7</definedName>
    <definedName name="Bronze_15">'Plakettenstammdaten'!$T$7</definedName>
    <definedName name="Bronze_8">'Plakettenstammdaten'!$M$7</definedName>
    <definedName name="Bronze_9">'Plakettenstammdaten'!$N$7</definedName>
    <definedName name="Bronze_A">'Plakettenstammdaten'!#REF!</definedName>
    <definedName name="Bronze_B">'Plakettenstammdaten'!#REF!</definedName>
    <definedName name="Bronze_C">'Plakettenstammdaten'!#REF!</definedName>
    <definedName name="Bronze_D">'Plakettenstammdaten'!#REF!</definedName>
    <definedName name="Bronze_E">'Plakettenstammdaten'!#REF!</definedName>
    <definedName name="Bronze_F">'Plakettenstammdaten'!#REF!</definedName>
    <definedName name="Bronze_G">'Plakettenstammdaten'!#REF!</definedName>
    <definedName name="Bronze_H">'Plakettenstammdaten'!#REF!</definedName>
    <definedName name="Bronze_HM">'Plakettenstammdaten'!$U$7</definedName>
    <definedName name="Bronze_K">'Plakettenstammdaten'!#REF!</definedName>
    <definedName name="Bronze_L">'Plakettenstammdaten'!$F$7</definedName>
    <definedName name="Bronze_M">'Plakettenstammdaten'!$G$7</definedName>
    <definedName name="Bronze_N">'Plakettenstammdaten'!$H$7</definedName>
    <definedName name="Bronze_P">'Plakettenstammdaten'!$I$7</definedName>
    <definedName name="Bronze_Q">'Plakettenstammdaten'!$J$7</definedName>
    <definedName name="Bronze_R">'Plakettenstammdaten'!$K$7</definedName>
    <definedName name="Bronze_S">'Plakettenstammdaten'!$L$7</definedName>
    <definedName name="Bronze_SO">'Plakettenstammdaten'!#REF!</definedName>
    <definedName name="Bronze_T">'Plakettenstammdaten'!$M$7</definedName>
    <definedName name="BronzeFaktor">'Plakettenstammdaten'!$E$7</definedName>
    <definedName name="Bronzeplakette">'Plakettenstammdaten'!$B$7</definedName>
    <definedName name="_xlnm.Print_Area" localSheetId="21">'Nachwuchswertung'!$A:$I</definedName>
    <definedName name="Erinnerung">'Plakettenstammdaten'!$B$8</definedName>
    <definedName name="Gold_10">'Plakettenstammdaten'!$O$5</definedName>
    <definedName name="Gold_11">'Plakettenstammdaten'!$P$5</definedName>
    <definedName name="Gold_12">'Plakettenstammdaten'!$Q$5</definedName>
    <definedName name="Gold_13">'Plakettenstammdaten'!$R$5</definedName>
    <definedName name="Gold_14">'Plakettenstammdaten'!$S$5</definedName>
    <definedName name="Gold_15">'Plakettenstammdaten'!$T$5</definedName>
    <definedName name="Gold_16">'Plakettenstammdaten'!#REF!</definedName>
    <definedName name="Gold_17">'Plakettenstammdaten'!#REF!</definedName>
    <definedName name="Gold_18a">'Plakettenstammdaten'!#REF!</definedName>
    <definedName name="Gold_18b">'Plakettenstammdaten'!#REF!</definedName>
    <definedName name="Gold_19a">'Plakettenstammdaten'!#REF!</definedName>
    <definedName name="Gold_19b">'Plakettenstammdaten'!#REF!</definedName>
    <definedName name="Gold_19c">'Plakettenstammdaten'!#REF!</definedName>
    <definedName name="Gold_20">'Plakettenstammdaten'!#REF!</definedName>
    <definedName name="Gold_21">'Plakettenstammdaten'!#REF!</definedName>
    <definedName name="Gold_8">'Plakettenstammdaten'!$M$5</definedName>
    <definedName name="Gold_9">'Plakettenstammdaten'!$N$5</definedName>
    <definedName name="Gold_A">'Plakettenstammdaten'!#REF!</definedName>
    <definedName name="Gold_B">'Plakettenstammdaten'!#REF!</definedName>
    <definedName name="Gold_C">'Plakettenstammdaten'!#REF!</definedName>
    <definedName name="Gold_D">'Plakettenstammdaten'!#REF!</definedName>
    <definedName name="Gold_E">'Plakettenstammdaten'!#REF!</definedName>
    <definedName name="Gold_F">'Plakettenstammdaten'!#REF!</definedName>
    <definedName name="Gold_G">'Plakettenstammdaten'!#REF!</definedName>
    <definedName name="Gold_H">'Plakettenstammdaten'!#REF!</definedName>
    <definedName name="Gold_HM">'Plakettenstammdaten'!$U$5</definedName>
    <definedName name="Gold_K">'Plakettenstammdaten'!#REF!</definedName>
    <definedName name="Gold_L">'Plakettenstammdaten'!$F$5</definedName>
    <definedName name="Gold_M">'Plakettenstammdaten'!$G$5</definedName>
    <definedName name="Gold_N">'Plakettenstammdaten'!$H$5</definedName>
    <definedName name="Gold_P">'Plakettenstammdaten'!$I$5</definedName>
    <definedName name="Gold_Q">'Plakettenstammdaten'!$J$5</definedName>
    <definedName name="Gold_R">'Plakettenstammdaten'!$K$5</definedName>
    <definedName name="Gold_S">'Plakettenstammdaten'!$L$5</definedName>
    <definedName name="Gold_SO">'Plakettenstammdaten'!#REF!</definedName>
    <definedName name="Gold_T">'Plakettenstammdaten'!$M$5</definedName>
    <definedName name="GoldFaktor">'Plakettenstammdaten'!$E$5</definedName>
    <definedName name="Goldplakette">'Plakettenstammdaten'!$B$5</definedName>
    <definedName name="Silber_10">'Plakettenstammdaten'!$O$6</definedName>
    <definedName name="Silber_11">'Plakettenstammdaten'!$P$6</definedName>
    <definedName name="Silber_12">'Plakettenstammdaten'!$Q$6</definedName>
    <definedName name="Silber_13">'Plakettenstammdaten'!$R$6</definedName>
    <definedName name="Silber_14">'Plakettenstammdaten'!$S$6</definedName>
    <definedName name="Silber_15">'Plakettenstammdaten'!$T$6</definedName>
    <definedName name="Silber_16">'Plakettenstammdaten'!#REF!</definedName>
    <definedName name="Silber_17">'Plakettenstammdaten'!#REF!</definedName>
    <definedName name="Silber_18a">'Plakettenstammdaten'!#REF!</definedName>
    <definedName name="Silber_18b">'Plakettenstammdaten'!#REF!</definedName>
    <definedName name="Silber_19a">'Plakettenstammdaten'!#REF!</definedName>
    <definedName name="Silber_19b">'Plakettenstammdaten'!#REF!</definedName>
    <definedName name="Silber_19c">'Plakettenstammdaten'!#REF!</definedName>
    <definedName name="Silber_20">'Plakettenstammdaten'!#REF!</definedName>
    <definedName name="Silber_21">'Plakettenstammdaten'!#REF!</definedName>
    <definedName name="Silber_8">'Plakettenstammdaten'!$M$6</definedName>
    <definedName name="Silber_9">'Plakettenstammdaten'!$N$6</definedName>
    <definedName name="Silber_A">'Plakettenstammdaten'!#REF!</definedName>
    <definedName name="Silber_B">'Plakettenstammdaten'!#REF!</definedName>
    <definedName name="Silber_C">'Plakettenstammdaten'!#REF!</definedName>
    <definedName name="Silber_D">'Plakettenstammdaten'!#REF!</definedName>
    <definedName name="Silber_E">'Plakettenstammdaten'!#REF!</definedName>
    <definedName name="Silber_F">'Plakettenstammdaten'!#REF!</definedName>
    <definedName name="Silber_G">'Plakettenstammdaten'!#REF!</definedName>
    <definedName name="Silber_H">'Plakettenstammdaten'!#REF!</definedName>
    <definedName name="Silber_HM">'Plakettenstammdaten'!$U$6</definedName>
    <definedName name="Silber_K">'Plakettenstammdaten'!#REF!</definedName>
    <definedName name="Silber_L">'Plakettenstammdaten'!$F$6</definedName>
    <definedName name="Silber_M">'Plakettenstammdaten'!$G$6</definedName>
    <definedName name="Silber_N">'Plakettenstammdaten'!$H$6</definedName>
    <definedName name="Silber_P">'Plakettenstammdaten'!$I$6</definedName>
    <definedName name="Silber_Q">'Plakettenstammdaten'!$J$6</definedName>
    <definedName name="Silber_R">'Plakettenstammdaten'!$K$6</definedName>
    <definedName name="Silber_S">'Plakettenstammdaten'!$L$6</definedName>
    <definedName name="Silber_SO">'Plakettenstammdaten'!#REF!</definedName>
    <definedName name="Silber_T">'Plakettenstammdaten'!$M$6</definedName>
    <definedName name="SilberFaktor">'Plakettenstammdaten'!$E$6</definedName>
    <definedName name="Silberplakette">'Plakettenstammdaten'!$B$6</definedName>
    <definedName name="Starter_10">'Kl.10'!$D$2</definedName>
    <definedName name="Starter_11">'Kl.11'!$D$2</definedName>
    <definedName name="Starter_12">'Kl.12'!$D$2</definedName>
    <definedName name="Starter_13">'Kl.13'!$D$2</definedName>
    <definedName name="Starter_14">'Kl.14'!$D$2</definedName>
    <definedName name="Starter_15">'Kl.15'!$D$2</definedName>
    <definedName name="Starter_8">'Kl.8'!$D$2</definedName>
    <definedName name="Starter_9">'Kl.9'!$D$2</definedName>
    <definedName name="Starter_Feld">'Teilnehmer'!$A$3:$H$403</definedName>
    <definedName name="Starter_HM">'HeckMo'!$E$2</definedName>
    <definedName name="Starter_L">'Kl.1'!$D$2</definedName>
    <definedName name="Starter_M">'Kl.2'!$D$2</definedName>
    <definedName name="Starter_N">'Kl.3'!$D$2</definedName>
    <definedName name="Starter_P">'Kl.4'!$D$2</definedName>
    <definedName name="Starter_Q">'Kl.5'!$D$2</definedName>
    <definedName name="Starter_R">'Kl.6'!$D$2</definedName>
    <definedName name="Starter_S">'Kl.7'!$D$2</definedName>
  </definedNames>
  <calcPr fullCalcOnLoad="1"/>
</workbook>
</file>

<file path=xl/comments18.xml><?xml version="1.0" encoding="utf-8"?>
<comments xmlns="http://schemas.openxmlformats.org/spreadsheetml/2006/main">
  <authors>
    <author>Peter Schaffer</author>
  </authors>
  <commentList>
    <comment ref="J4" authorId="0">
      <text>
        <r>
          <rPr>
            <b/>
            <sz val="10"/>
            <color indexed="10"/>
            <rFont val="Tahoma"/>
            <family val="2"/>
          </rPr>
          <t>Achtung:</t>
        </r>
        <r>
          <rPr>
            <b/>
            <sz val="10"/>
            <rFont val="Tahoma"/>
            <family val="2"/>
          </rPr>
          <t xml:space="preserve"> 
Immer von fertiger Klasse erst die Startnummern kopieren (Einfügen als Wert), dann die zugehörigen Wertungszeiten, bzw. die DAM-Punkte als Wert einfügen. Danach über die Schaltflächen unten sortieren.
Siehe auch Bedienungsanleitung!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Peter Schaffer</author>
  </authors>
  <commentList>
    <comment ref="J4" authorId="0">
      <text>
        <r>
          <rPr>
            <b/>
            <sz val="10"/>
            <color indexed="10"/>
            <rFont val="Tahoma"/>
            <family val="2"/>
          </rPr>
          <t>Achtung:</t>
        </r>
        <r>
          <rPr>
            <b/>
            <sz val="10"/>
            <rFont val="Tahoma"/>
            <family val="2"/>
          </rPr>
          <t xml:space="preserve"> 
Immer von fertiger Klasse erst die Startnummern kopieren (Einfügen als Wert), dann die zugehörigen Wertungszeiten, bzw. die DAM-Punkte als Wert einfügen. Danach über die Schaltflächen unten sortieren.
Siehe auch Bedienungsanleitung!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Peter Schaffer</author>
  </authors>
  <commentList>
    <comment ref="J4" authorId="0">
      <text>
        <r>
          <rPr>
            <b/>
            <sz val="10"/>
            <color indexed="10"/>
            <rFont val="Tahoma"/>
            <family val="2"/>
          </rPr>
          <t>Achtung:</t>
        </r>
        <r>
          <rPr>
            <b/>
            <sz val="10"/>
            <rFont val="Tahoma"/>
            <family val="2"/>
          </rPr>
          <t xml:space="preserve"> 
Immer von fertiger Klasse erst die Startnummern kopieren (Einfügen als Wert), dann die zugehörigen Wertungszeiten, bzw. die DAM-Punkte als Wert einfügen. Danach über die Schaltflächen unten sortieren.
Siehe auch Bedienungsanleitung!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Peter Schaffer</author>
  </authors>
  <commentList>
    <comment ref="I6" authorId="0">
      <text>
        <r>
          <rPr>
            <b/>
            <sz val="10"/>
            <color indexed="10"/>
            <rFont val="Tahoma"/>
            <family val="2"/>
          </rPr>
          <t xml:space="preserve">Achtung:
</t>
        </r>
        <r>
          <rPr>
            <b/>
            <sz val="10"/>
            <rFont val="Tahoma"/>
            <family val="2"/>
          </rPr>
          <t xml:space="preserve">Immer von fertiger Klasse erst die Startnummern kopieren und als Werte einfügen, dann die entsprechenden DAM-Punkte kopieren und ebenfalls als Werte einfügen.
Anschließend sortieren!
Siehe dazu auch die Bedienungsanleitung!!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<sst xmlns="http://schemas.openxmlformats.org/spreadsheetml/2006/main" count="873" uniqueCount="350">
  <si>
    <t>Teilnehmer</t>
  </si>
  <si>
    <t>Platz</t>
  </si>
  <si>
    <t>Pl.</t>
  </si>
  <si>
    <t>St.Nr.</t>
  </si>
  <si>
    <t>DAM-Nr.</t>
  </si>
  <si>
    <t>Name, Vorname</t>
  </si>
  <si>
    <t>Club / Ort</t>
  </si>
  <si>
    <t>Marke, Typ</t>
  </si>
  <si>
    <t>G</t>
  </si>
  <si>
    <t>Gold</t>
  </si>
  <si>
    <t>Silber</t>
  </si>
  <si>
    <t>B</t>
  </si>
  <si>
    <t>Bronze</t>
  </si>
  <si>
    <t>E</t>
  </si>
  <si>
    <t>Erinnerung</t>
  </si>
  <si>
    <t>Plakette</t>
  </si>
  <si>
    <t>Kürzel</t>
  </si>
  <si>
    <t>S</t>
  </si>
  <si>
    <t>Rest</t>
  </si>
  <si>
    <t>Prozent %</t>
  </si>
  <si>
    <t>Stammdaten</t>
  </si>
  <si>
    <t>Faktor</t>
  </si>
  <si>
    <t>NAVC Plaketten-Wertung nach Klassen</t>
  </si>
  <si>
    <t>Zuteilung zu den Klassen bis Plazierung</t>
  </si>
  <si>
    <t>Laufz.1</t>
  </si>
  <si>
    <t>F1</t>
  </si>
  <si>
    <t>Su 1</t>
  </si>
  <si>
    <t>Lauf 1</t>
  </si>
  <si>
    <t>Laufz.2</t>
  </si>
  <si>
    <t>F2</t>
  </si>
  <si>
    <t>Su 2</t>
  </si>
  <si>
    <t>Lauf 2</t>
  </si>
  <si>
    <t>Wer.ges</t>
  </si>
  <si>
    <t>Wertung</t>
  </si>
  <si>
    <t>Kl.</t>
  </si>
  <si>
    <t>Klasse 1</t>
  </si>
  <si>
    <t>Klasse 3</t>
  </si>
  <si>
    <t>Klasse 2</t>
  </si>
  <si>
    <t>Klasse 4</t>
  </si>
  <si>
    <t>Klasse 5</t>
  </si>
  <si>
    <t>Klasse 6</t>
  </si>
  <si>
    <t>Klasse 13</t>
  </si>
  <si>
    <t>Klasse 7</t>
  </si>
  <si>
    <t>1</t>
  </si>
  <si>
    <t>2</t>
  </si>
  <si>
    <t>3</t>
  </si>
  <si>
    <t>4</t>
  </si>
  <si>
    <t>5</t>
  </si>
  <si>
    <t>6</t>
  </si>
  <si>
    <t>7</t>
  </si>
  <si>
    <t>Klasse 8</t>
  </si>
  <si>
    <t>Klasse 9</t>
  </si>
  <si>
    <t>Klasse 10</t>
  </si>
  <si>
    <t>Klasse 11</t>
  </si>
  <si>
    <t>Klasse 12</t>
  </si>
  <si>
    <t>Klasse 14</t>
  </si>
  <si>
    <t>Klasse 15</t>
  </si>
  <si>
    <t>Veranstaltung eingeben -&gt;</t>
  </si>
  <si>
    <t>Gruppe 1</t>
  </si>
  <si>
    <t>Gruppe 2</t>
  </si>
  <si>
    <t>Gruppe 3</t>
  </si>
  <si>
    <t>DAM-Pkt.</t>
  </si>
  <si>
    <t>Nachwuchs</t>
  </si>
  <si>
    <t>HeckMo-Cup</t>
  </si>
  <si>
    <t>8</t>
  </si>
  <si>
    <t>Anzahl gesamt</t>
  </si>
  <si>
    <t>Damen</t>
  </si>
  <si>
    <t>HeckMo</t>
  </si>
  <si>
    <t>Nachwuchswertung</t>
  </si>
  <si>
    <t>Teilnehmer gesamt</t>
  </si>
  <si>
    <t>Eisen, Stephan</t>
  </si>
  <si>
    <t>AC Gunzenhausen</t>
  </si>
  <si>
    <t>Fiat Cinquecento</t>
  </si>
  <si>
    <t>MSC Bechhofen</t>
  </si>
  <si>
    <t>VW Polo</t>
  </si>
  <si>
    <t>Heller, Barbara</t>
  </si>
  <si>
    <t>ASC Ansbach</t>
  </si>
  <si>
    <t>Daihatsu Cuore</t>
  </si>
  <si>
    <t>Dietrich, Corinna</t>
  </si>
  <si>
    <t>Ziegler, Erich</t>
  </si>
  <si>
    <t>Ziegler, Daniela</t>
  </si>
  <si>
    <t>Audi 50</t>
  </si>
  <si>
    <t>Lang, Reinhold</t>
  </si>
  <si>
    <t>NAC Amberg</t>
  </si>
  <si>
    <t>Eisen, Mathias</t>
  </si>
  <si>
    <t>Dietrich, Jens</t>
  </si>
  <si>
    <t>Henninger, Florian</t>
  </si>
  <si>
    <t>Schopf, Karl</t>
  </si>
  <si>
    <t>Heldmann, Kerstin</t>
  </si>
  <si>
    <t>Stephan, Nicolaus</t>
  </si>
  <si>
    <t>VW Derby</t>
  </si>
  <si>
    <t>Gregor, Roland</t>
  </si>
  <si>
    <t>RST Mittelfranken</t>
  </si>
  <si>
    <t>Koch, Wieland</t>
  </si>
  <si>
    <t>MSC Jura</t>
  </si>
  <si>
    <t>NSU TTS</t>
  </si>
  <si>
    <t>Winter, Thomas</t>
  </si>
  <si>
    <t>Eckert, Andrea</t>
  </si>
  <si>
    <t>VW Polo 86 c coupé</t>
  </si>
  <si>
    <t>König, Max</t>
  </si>
  <si>
    <t>Ehrngruber, Martin</t>
  </si>
  <si>
    <t>VW Polo coupé</t>
  </si>
  <si>
    <t>Eckert, Michael</t>
  </si>
  <si>
    <t>König, Michael</t>
  </si>
  <si>
    <t>Albrecht, Sven</t>
  </si>
  <si>
    <t>Lobenhofer, Michael</t>
  </si>
  <si>
    <t>Körber, Alexander</t>
  </si>
  <si>
    <t>Hollweg, Harald</t>
  </si>
  <si>
    <t>Bittner, Matthias</t>
  </si>
  <si>
    <t>Opel Kadett</t>
  </si>
  <si>
    <t>Schnelle, Enrico</t>
  </si>
  <si>
    <t>VW Polo 6n GTI</t>
  </si>
  <si>
    <t>Reihs, Patrick</t>
  </si>
  <si>
    <t>Opel Corsa GSI</t>
  </si>
  <si>
    <t>Ries, Klaus- Dieter</t>
  </si>
  <si>
    <t>R&amp;R Racing</t>
  </si>
  <si>
    <t>Hofmann, Nicole</t>
  </si>
  <si>
    <t>ASC Rheingau</t>
  </si>
  <si>
    <t>Honda Integra</t>
  </si>
  <si>
    <t>Hoffmann, Rainer</t>
  </si>
  <si>
    <t>BMW 318 is</t>
  </si>
  <si>
    <t>Knorr, Christopher</t>
  </si>
  <si>
    <t>Opel Kadett C Coupé</t>
  </si>
  <si>
    <t>Käpt'n Iglo</t>
  </si>
  <si>
    <t>SWF Weidwies</t>
  </si>
  <si>
    <t>Ford Fiesta XR2</t>
  </si>
  <si>
    <t>Höppe Marina</t>
  </si>
  <si>
    <t>Linke, Olaf</t>
  </si>
  <si>
    <t>Störmann, Michael</t>
  </si>
  <si>
    <t>Enderlein, Tobias</t>
  </si>
  <si>
    <t>Endres, Oliver</t>
  </si>
  <si>
    <t>Klar, Thomas</t>
  </si>
  <si>
    <t>SFG Südhessen</t>
  </si>
  <si>
    <t>Ford Puma</t>
  </si>
  <si>
    <t>Kaiser, Michael</t>
  </si>
  <si>
    <t>MSC Idarwald</t>
  </si>
  <si>
    <t>Honda CRX</t>
  </si>
  <si>
    <t>Benninghoff-Müller, Michael</t>
  </si>
  <si>
    <t>Semlinger, Christian</t>
  </si>
  <si>
    <t>BMW E30 318is</t>
  </si>
  <si>
    <t>Zischler, Günter</t>
  </si>
  <si>
    <t>VW Golf</t>
  </si>
  <si>
    <t>Hoffmann, Philipp</t>
  </si>
  <si>
    <t>Erler, Rudolf</t>
  </si>
  <si>
    <t>ASVC Wieseth</t>
  </si>
  <si>
    <t>BMW E30 325i</t>
  </si>
  <si>
    <t>Erler, Konstantin</t>
  </si>
  <si>
    <t>Hofmann, Joachim</t>
  </si>
  <si>
    <t>Süss, Inge</t>
  </si>
  <si>
    <t>Nölp, Sebastian</t>
  </si>
  <si>
    <t>Nölp, Dieter</t>
  </si>
  <si>
    <t>Brust, Marek</t>
  </si>
  <si>
    <t>Opel Corsa D</t>
  </si>
  <si>
    <t>Beck, Ricarda</t>
  </si>
  <si>
    <t xml:space="preserve">VW Golf R </t>
  </si>
  <si>
    <t>Beck, Werner</t>
  </si>
  <si>
    <t>VW Golf R</t>
  </si>
  <si>
    <t>Specht, Christian</t>
  </si>
  <si>
    <t>NAC Bottrop</t>
  </si>
  <si>
    <t>Meyer, Marc</t>
  </si>
  <si>
    <t>MSC Bollenbachtal</t>
  </si>
  <si>
    <t>Renault Twingo</t>
  </si>
  <si>
    <t>Bender, Nina</t>
  </si>
  <si>
    <t>Würstle, Wolfgang</t>
  </si>
  <si>
    <t>SFG Rauhe Alb</t>
  </si>
  <si>
    <t>Feyl, Michael</t>
  </si>
  <si>
    <t>Scuderiatopolino</t>
  </si>
  <si>
    <t>Abarth 1000 TCR</t>
  </si>
  <si>
    <t>Ganser, Robert</t>
  </si>
  <si>
    <t>Fiat Abarth 850 TC</t>
  </si>
  <si>
    <t>König, Anton</t>
  </si>
  <si>
    <t>SFG Sophienthal</t>
  </si>
  <si>
    <t>Audi 50 GLS</t>
  </si>
  <si>
    <t>Westermeier, Walter</t>
  </si>
  <si>
    <t>Fiat Abarth 1000 TC</t>
  </si>
  <si>
    <t>Beer, Hans</t>
  </si>
  <si>
    <t>NAC Nittenau</t>
  </si>
  <si>
    <t>Link, Reinhold</t>
  </si>
  <si>
    <t>RHT Rohrenstadt</t>
  </si>
  <si>
    <t xml:space="preserve">NSU TT </t>
  </si>
  <si>
    <t>Dietze, Harald</t>
  </si>
  <si>
    <t>Männl, Michael</t>
  </si>
  <si>
    <t>Fiat 127</t>
  </si>
  <si>
    <t>Seitz, Gerhard</t>
  </si>
  <si>
    <t>Fiat Abarth 1000 TCR</t>
  </si>
  <si>
    <t>Würstle, Marc</t>
  </si>
  <si>
    <t>NSU TT</t>
  </si>
  <si>
    <t>Efinger, Marian</t>
  </si>
  <si>
    <t>Morweiser, Hans</t>
  </si>
  <si>
    <t>MSC Queidersbach</t>
  </si>
  <si>
    <t>Stangneth, Heinz</t>
  </si>
  <si>
    <t>SFK Hansenried</t>
  </si>
  <si>
    <t>Rötzer, Richard</t>
  </si>
  <si>
    <t>Weigl, Thomas</t>
  </si>
  <si>
    <t>Kunz, Helmut</t>
  </si>
  <si>
    <t>MSC Sophienthal</t>
  </si>
  <si>
    <t>Zollner, Christian</t>
  </si>
  <si>
    <t>Link, Christian</t>
  </si>
  <si>
    <t>Kratzer, Stefan</t>
  </si>
  <si>
    <t>Rötzer, Herbert</t>
  </si>
  <si>
    <t>Turban, Josef</t>
  </si>
  <si>
    <t>Späth, Michael</t>
  </si>
  <si>
    <t>Höppe, Andreas</t>
  </si>
  <si>
    <t>Enderlein, Johannes</t>
  </si>
  <si>
    <t>Pieczka, Wilhelm</t>
  </si>
  <si>
    <t>Horänder, Stefan</t>
  </si>
  <si>
    <t>Scheiderer, Günter</t>
  </si>
  <si>
    <t>Rostek, Reinhold</t>
  </si>
  <si>
    <t>Peugeot 106</t>
  </si>
  <si>
    <t>Rausch, Ralf</t>
  </si>
  <si>
    <t xml:space="preserve">Ford Fiesta </t>
  </si>
  <si>
    <t>Schmid, Barbara</t>
  </si>
  <si>
    <t>Ford Fiesta</t>
  </si>
  <si>
    <t>Rostek, Jürgen</t>
  </si>
  <si>
    <t>Kühn, Sebastian</t>
  </si>
  <si>
    <t>Opel Kadett GSI 16V</t>
  </si>
  <si>
    <t>Schweizer, Oliver</t>
  </si>
  <si>
    <t>RTC Mainhardt</t>
  </si>
  <si>
    <t>Golf 1 17</t>
  </si>
  <si>
    <t>Küpper, Tobias</t>
  </si>
  <si>
    <t>Chaosteam</t>
  </si>
  <si>
    <t>VW Golf 1</t>
  </si>
  <si>
    <t>Stark, Tobias</t>
  </si>
  <si>
    <t>Scuderia Lechfeld</t>
  </si>
  <si>
    <t>Honda Civic</t>
  </si>
  <si>
    <t>Deuerling, Detlef</t>
  </si>
  <si>
    <t>AVD Weiden</t>
  </si>
  <si>
    <t>Müller, Karlheinz</t>
  </si>
  <si>
    <t>BMW 318ti</t>
  </si>
  <si>
    <t>Schmidt, Carsten</t>
  </si>
  <si>
    <t>MSC Berg</t>
  </si>
  <si>
    <t>Notdurfter, Alfons</t>
  </si>
  <si>
    <t>Ford Escort Cosworth</t>
  </si>
  <si>
    <t>Pritzl, Christian</t>
  </si>
  <si>
    <t>Ford Fiesta XR2i</t>
  </si>
  <si>
    <t>Appl, Franz</t>
  </si>
  <si>
    <t>ATC Weiden</t>
  </si>
  <si>
    <t>Porsche Caymann</t>
  </si>
  <si>
    <t>Mihaill, Andrei</t>
  </si>
  <si>
    <t>Mercedes W 210</t>
  </si>
  <si>
    <t>Wolf, Michael</t>
  </si>
  <si>
    <t>BMW E30 V8</t>
  </si>
  <si>
    <t>Wolf, Kevin</t>
  </si>
  <si>
    <t>Loßmann, Guido</t>
  </si>
  <si>
    <t>MSC Lützkendorf</t>
  </si>
  <si>
    <t>Opel Kadett 16V</t>
  </si>
  <si>
    <t>Daut, Uwe</t>
  </si>
  <si>
    <t>49. Automobilslalom, MSC Jura 9.7.2016</t>
  </si>
  <si>
    <t>Feder, Jasmin</t>
  </si>
  <si>
    <t>Citroen AX</t>
  </si>
  <si>
    <t>Treiber, Timo</t>
  </si>
  <si>
    <t>Ehrngruber, René</t>
  </si>
  <si>
    <t>Dietrich, Roland</t>
  </si>
  <si>
    <t>MSC Wallerberg</t>
  </si>
  <si>
    <t>VW Polo GT</t>
  </si>
  <si>
    <t>Meyer, Martin</t>
  </si>
  <si>
    <t>10</t>
  </si>
  <si>
    <t>20</t>
  </si>
  <si>
    <t>40</t>
  </si>
  <si>
    <t xml:space="preserve">Schöne, Armin </t>
  </si>
  <si>
    <t>FG Rhein- Main</t>
  </si>
  <si>
    <t>Müller, Martin</t>
  </si>
  <si>
    <t>Honda CRX ED9</t>
  </si>
  <si>
    <t>Reihs, Michael</t>
  </si>
  <si>
    <t>Fiat Panda</t>
  </si>
  <si>
    <t>Jakob, Michael</t>
  </si>
  <si>
    <t>MSC Aalen</t>
  </si>
  <si>
    <t>Jakob, Robert</t>
  </si>
  <si>
    <t>Suzuki Splash DDiS</t>
  </si>
  <si>
    <t>Schwarz, Michael</t>
  </si>
  <si>
    <t>Fiat 500 Abarth</t>
  </si>
  <si>
    <t>Dix, Fabian</t>
  </si>
  <si>
    <t>MSF Tiefenbach</t>
  </si>
  <si>
    <t>Honda Civic Type R</t>
  </si>
  <si>
    <t>15</t>
  </si>
  <si>
    <t>Audi RS 3</t>
  </si>
  <si>
    <t xml:space="preserve">Opel Kadett C </t>
  </si>
  <si>
    <t>Korn, Sabrina</t>
  </si>
  <si>
    <t>Toyota Celica GTS</t>
  </si>
  <si>
    <t>Dix, Simon</t>
  </si>
  <si>
    <t>BMW M 135i</t>
  </si>
  <si>
    <t>Endreß, Christoph</t>
  </si>
  <si>
    <t>Subaru ImprezaSTi</t>
  </si>
  <si>
    <t>Opel Kadett C</t>
  </si>
  <si>
    <t>Korn, Stephan</t>
  </si>
  <si>
    <t>Hecht, Heiko</t>
  </si>
  <si>
    <t>GP-Power</t>
  </si>
  <si>
    <t>BMW 318is</t>
  </si>
  <si>
    <t>BMW 318 TI</t>
  </si>
  <si>
    <t>Philipp, Günther</t>
  </si>
  <si>
    <t>Polo Cup Edition GTI</t>
  </si>
  <si>
    <t>Reichart, Rudi</t>
  </si>
  <si>
    <t>Audi A 4</t>
  </si>
  <si>
    <t>Erler, Maximilian</t>
  </si>
  <si>
    <t>Endreß, Johann</t>
  </si>
  <si>
    <t>Göhlich, Andre</t>
  </si>
  <si>
    <t>Mercedes Benz A 45 AMG</t>
  </si>
  <si>
    <t>Hezler, Jannik</t>
  </si>
  <si>
    <t>Mercedes A 220</t>
  </si>
  <si>
    <t>Eisen, Angelika</t>
  </si>
  <si>
    <t>60</t>
  </si>
  <si>
    <t>50</t>
  </si>
  <si>
    <t>Scuderia Topolino</t>
  </si>
  <si>
    <t>Kehlenbeck, Frank</t>
  </si>
  <si>
    <t>MSC Kitzbühel</t>
  </si>
  <si>
    <t xml:space="preserve">Raßhofer, Christian </t>
  </si>
  <si>
    <t>VW Polo 86 C</t>
  </si>
  <si>
    <t>Kunz, Marco</t>
  </si>
  <si>
    <t>90</t>
  </si>
  <si>
    <t>Kürzdörfer, Harry</t>
  </si>
  <si>
    <t>Wiesmann, Rainer</t>
  </si>
  <si>
    <t>BMW 1802</t>
  </si>
  <si>
    <t>Minuth, Nino</t>
  </si>
  <si>
    <t>Team Minuth Motorsport</t>
  </si>
  <si>
    <t>Minuth, Franziska</t>
  </si>
  <si>
    <t>Mohr, Mathias</t>
  </si>
  <si>
    <t>Austin Mini 16 V</t>
  </si>
  <si>
    <t>Emgenbroich, Daniel</t>
  </si>
  <si>
    <t>Lotus Super Seven Rush</t>
  </si>
  <si>
    <t>VW Polo Schneider 16V</t>
  </si>
  <si>
    <t>Huber, Harald</t>
  </si>
  <si>
    <t>Ritter, Steffen</t>
  </si>
  <si>
    <t>Opel Corsa A GSI</t>
  </si>
  <si>
    <t>Ford Escort</t>
  </si>
  <si>
    <t>Thiel, Karl-Heinz</t>
  </si>
  <si>
    <t>Chaosteam Motorsport</t>
  </si>
  <si>
    <t>Bavarian Drag Race Club</t>
  </si>
  <si>
    <t>BMW 1602</t>
  </si>
  <si>
    <t>Koob, Sven</t>
  </si>
  <si>
    <t>IMS Schlierbachtal</t>
  </si>
  <si>
    <t>Fiat Uno</t>
  </si>
  <si>
    <t>Suhr, Ronnie</t>
  </si>
  <si>
    <t>RG Saar Pfalz</t>
  </si>
  <si>
    <t>VW Golf GTI</t>
  </si>
  <si>
    <t>VW Schneider Polo 16V</t>
  </si>
  <si>
    <t>Hentschel, Patrick</t>
  </si>
  <si>
    <t>Renault R5</t>
  </si>
  <si>
    <t>Wiedmann, Günther</t>
  </si>
  <si>
    <t>MSC Frickenhofer Höhe</t>
  </si>
  <si>
    <t>30</t>
  </si>
  <si>
    <t>AMSC</t>
  </si>
  <si>
    <t>Nothdurfter, Manfred</t>
  </si>
  <si>
    <t>Ford Escort RS 2000</t>
  </si>
  <si>
    <t>Grosch, Oliver</t>
  </si>
  <si>
    <t>BMW E30</t>
  </si>
  <si>
    <t>Hoffmann, Christian</t>
  </si>
  <si>
    <t>VW Polo 86 C G40 Turbo</t>
  </si>
  <si>
    <t>Peugeot 106 Sport</t>
  </si>
  <si>
    <t>Langwieser, Dietmar</t>
  </si>
  <si>
    <t>Carotenuto, Michele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</si>
</sst>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0.0"/>
    <numFmt numFmtId="174" formatCode="m:ss.00"/>
    <numFmt numFmtId="175" formatCode="ss.00"/>
    <numFmt numFmtId="176" formatCode="[$-407]dddd\,\ 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66">
    <font>
      <sz val="10"/>
      <name val="Arial"/>
      <family val="0"/>
    </font>
    <font>
      <sz val="10"/>
      <color indexed="10"/>
      <name val="Arial"/>
      <family val="2"/>
    </font>
    <font>
      <b/>
      <i/>
      <u val="single"/>
      <sz val="13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8"/>
      <color indexed="12"/>
      <name val="Arial"/>
      <family val="2"/>
    </font>
    <font>
      <b/>
      <i/>
      <u val="single"/>
      <sz val="14"/>
      <color indexed="8"/>
      <name val="Arial"/>
      <family val="2"/>
    </font>
    <font>
      <b/>
      <i/>
      <u val="single"/>
      <sz val="14"/>
      <name val="Arial"/>
      <family val="2"/>
    </font>
    <font>
      <b/>
      <i/>
      <u val="single"/>
      <sz val="16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color indexed="8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0"/>
      <color indexed="48"/>
      <name val="Arial"/>
      <family val="2"/>
    </font>
    <font>
      <i/>
      <sz val="11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169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74" fontId="0" fillId="0" borderId="0" applyFont="0">
      <alignment horizontal="center"/>
      <protection/>
    </xf>
    <xf numFmtId="174" fontId="0" fillId="0" borderId="0" applyFont="0">
      <alignment horizontal="center"/>
      <protection/>
    </xf>
    <xf numFmtId="0" fontId="64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Continuous"/>
    </xf>
    <xf numFmtId="0" fontId="7" fillId="0" borderId="15" xfId="0" applyFont="1" applyBorder="1" applyAlignment="1">
      <alignment/>
    </xf>
    <xf numFmtId="0" fontId="7" fillId="34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10" fillId="0" borderId="0" xfId="0" applyFont="1" applyAlignment="1">
      <alignment/>
    </xf>
    <xf numFmtId="2" fontId="7" fillId="0" borderId="15" xfId="0" applyNumberFormat="1" applyFont="1" applyBorder="1" applyAlignment="1">
      <alignment/>
    </xf>
    <xf numFmtId="0" fontId="7" fillId="36" borderId="15" xfId="0" applyFont="1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7" fillId="35" borderId="16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7" xfId="0" applyFill="1" applyBorder="1" applyAlignment="1">
      <alignment/>
    </xf>
    <xf numFmtId="0" fontId="7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right"/>
      <protection locked="0"/>
    </xf>
    <xf numFmtId="2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74" fontId="5" fillId="0" borderId="23" xfId="60" applyFont="1" applyBorder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center"/>
      <protection locked="0"/>
    </xf>
    <xf numFmtId="174" fontId="5" fillId="0" borderId="24" xfId="60" applyFont="1" applyBorder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174" fontId="5" fillId="0" borderId="30" xfId="60" applyFont="1" applyBorder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74" fontId="5" fillId="0" borderId="31" xfId="60" applyFont="1" applyBorder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174" fontId="5" fillId="0" borderId="19" xfId="60" applyFont="1" applyBorder="1" applyProtection="1">
      <alignment horizontal="center"/>
      <protection/>
    </xf>
    <xf numFmtId="174" fontId="5" fillId="0" borderId="0" xfId="60" applyFont="1" applyProtection="1">
      <alignment horizontal="center"/>
      <protection/>
    </xf>
    <xf numFmtId="174" fontId="13" fillId="0" borderId="32" xfId="60" applyFont="1" applyBorder="1" applyProtection="1">
      <alignment horizontal="center"/>
      <protection/>
    </xf>
    <xf numFmtId="2" fontId="1" fillId="0" borderId="24" xfId="0" applyNumberFormat="1" applyFont="1" applyBorder="1" applyAlignment="1" applyProtection="1">
      <alignment horizontal="center"/>
      <protection/>
    </xf>
    <xf numFmtId="174" fontId="5" fillId="0" borderId="22" xfId="60" applyFont="1" applyBorder="1" applyProtection="1">
      <alignment horizontal="center"/>
      <protection/>
    </xf>
    <xf numFmtId="174" fontId="13" fillId="0" borderId="33" xfId="60" applyFont="1" applyBorder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174" fontId="5" fillId="0" borderId="34" xfId="60" applyFont="1" applyBorder="1" applyProtection="1">
      <alignment horizontal="center"/>
      <protection/>
    </xf>
    <xf numFmtId="174" fontId="5" fillId="0" borderId="35" xfId="60" applyFont="1" applyBorder="1" applyProtection="1">
      <alignment horizontal="center"/>
      <protection/>
    </xf>
    <xf numFmtId="0" fontId="0" fillId="0" borderId="0" xfId="0" applyNumberFormat="1" applyAlignment="1">
      <alignment/>
    </xf>
    <xf numFmtId="0" fontId="7" fillId="0" borderId="15" xfId="0" applyNumberFormat="1" applyFont="1" applyBorder="1" applyAlignment="1">
      <alignment/>
    </xf>
    <xf numFmtId="0" fontId="7" fillId="0" borderId="18" xfId="0" applyNumberFormat="1" applyFont="1" applyBorder="1" applyAlignment="1">
      <alignment horizontal="right"/>
    </xf>
    <xf numFmtId="49" fontId="7" fillId="33" borderId="15" xfId="0" applyNumberFormat="1" applyFont="1" applyFill="1" applyBorder="1" applyAlignment="1">
      <alignment horizontal="center"/>
    </xf>
    <xf numFmtId="0" fontId="7" fillId="0" borderId="25" xfId="0" applyNumberFormat="1" applyFont="1" applyBorder="1" applyAlignment="1">
      <alignment/>
    </xf>
    <xf numFmtId="0" fontId="7" fillId="0" borderId="36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74" fontId="1" fillId="0" borderId="0" xfId="60" applyFont="1">
      <alignment horizontal="center"/>
      <protection/>
    </xf>
    <xf numFmtId="174" fontId="19" fillId="0" borderId="0" xfId="60" applyFont="1">
      <alignment horizontal="center"/>
      <protection/>
    </xf>
    <xf numFmtId="174" fontId="1" fillId="0" borderId="33" xfId="60" applyFont="1" applyBorder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174" fontId="6" fillId="0" borderId="15" xfId="60" applyFont="1" applyBorder="1">
      <alignment horizontal="center"/>
      <protection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0" fillId="0" borderId="0" xfId="0" applyFont="1" applyAlignment="1">
      <alignment/>
    </xf>
    <xf numFmtId="0" fontId="11" fillId="0" borderId="15" xfId="0" applyFont="1" applyBorder="1" applyAlignment="1" applyProtection="1">
      <alignment horizontal="center"/>
      <protection/>
    </xf>
    <xf numFmtId="2" fontId="9" fillId="0" borderId="32" xfId="0" applyNumberFormat="1" applyFont="1" applyBorder="1" applyAlignment="1" applyProtection="1">
      <alignment horizontal="center"/>
      <protection/>
    </xf>
    <xf numFmtId="2" fontId="9" fillId="0" borderId="33" xfId="0" applyNumberFormat="1" applyFont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174" fontId="5" fillId="0" borderId="37" xfId="60" applyFont="1" applyBorder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/>
      <protection locked="0"/>
    </xf>
    <xf numFmtId="172" fontId="5" fillId="0" borderId="13" xfId="0" applyNumberFormat="1" applyFont="1" applyBorder="1" applyAlignment="1">
      <alignment horizontal="center"/>
    </xf>
    <xf numFmtId="174" fontId="5" fillId="0" borderId="42" xfId="60" applyFont="1" applyBorder="1" applyProtection="1">
      <alignment horizontal="center"/>
      <protection/>
    </xf>
    <xf numFmtId="174" fontId="5" fillId="0" borderId="43" xfId="60" applyFont="1" applyBorder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74" fontId="5" fillId="0" borderId="38" xfId="60" applyFont="1" applyBorder="1" applyProtection="1">
      <alignment horizontal="center"/>
      <protection/>
    </xf>
    <xf numFmtId="174" fontId="5" fillId="0" borderId="13" xfId="60" applyFont="1" applyBorder="1" applyProtection="1">
      <alignment horizontal="center"/>
      <protection/>
    </xf>
    <xf numFmtId="174" fontId="13" fillId="0" borderId="36" xfId="60" applyFont="1" applyBorder="1" applyProtection="1">
      <alignment horizontal="center"/>
      <protection/>
    </xf>
    <xf numFmtId="2" fontId="1" fillId="0" borderId="37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2" fontId="9" fillId="0" borderId="19" xfId="0" applyNumberFormat="1" applyFont="1" applyBorder="1" applyAlignment="1" applyProtection="1">
      <alignment horizontal="right" indent="1"/>
      <protection/>
    </xf>
    <xf numFmtId="2" fontId="9" fillId="0" borderId="22" xfId="0" applyNumberFormat="1" applyFont="1" applyBorder="1" applyAlignment="1" applyProtection="1">
      <alignment horizontal="right" indent="1"/>
      <protection/>
    </xf>
    <xf numFmtId="2" fontId="9" fillId="0" borderId="38" xfId="0" applyNumberFormat="1" applyFont="1" applyBorder="1" applyAlignment="1" applyProtection="1">
      <alignment horizontal="right" indent="1"/>
      <protection/>
    </xf>
    <xf numFmtId="174" fontId="5" fillId="0" borderId="24" xfId="60" applyNumberFormat="1" applyFont="1" applyBorder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8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left"/>
    </xf>
    <xf numFmtId="0" fontId="29" fillId="0" borderId="13" xfId="0" applyFon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74" fontId="5" fillId="0" borderId="23" xfId="60" applyNumberFormat="1" applyFont="1" applyBorder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it sek" xfId="60"/>
    <cellStyle name="Zeit sek 2" xfId="61"/>
    <cellStyle name="Zelle überprüfen" xfId="62"/>
  </cellStyles>
  <dxfs count="139">
    <dxf>
      <font>
        <color indexed="9"/>
      </font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12</xdr:row>
      <xdr:rowOff>0</xdr:rowOff>
    </xdr:from>
    <xdr:ext cx="2943225" cy="466725"/>
    <xdr:grpSp>
      <xdr:nvGrpSpPr>
        <xdr:cNvPr id="1" name="Group 2"/>
        <xdr:cNvGrpSpPr>
          <a:grpSpLocks/>
        </xdr:cNvGrpSpPr>
      </xdr:nvGrpSpPr>
      <xdr:grpSpPr>
        <a:xfrm>
          <a:off x="5953125" y="2400300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Wertung">
        <xdr:nvSpPr>
          <xdr:cNvPr id="2" name="Rectangle 3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3" name="Rectangle 4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4" name="Rectangle 5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5" name="Rectangle 6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6" name="Rectangle 7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7" name="Rectangle 8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8" name="Rectangle 9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9" name="Rectangle 10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0" name="Rectangle 11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1" name="Rectangle 12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2" name="Rectangle 13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3" name="Rectangle 14"/>
          <xdr:cNvSpPr>
            <a:spLocks/>
          </xdr:cNvSpPr>
        </xdr:nvSpPr>
        <xdr:spPr>
          <a:xfrm>
            <a:off x="938" y="31"/>
            <a:ext cx="97" cy="2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Wertung</a:t>
            </a:r>
          </a:p>
        </xdr:txBody>
      </xdr:sp>
    </xdr:grpSp>
    <xdr:clientData fPrintsWithSheet="0"/>
  </xdr:oneCellAnchor>
  <xdr:oneCellAnchor>
    <xdr:from>
      <xdr:col>11</xdr:col>
      <xdr:colOff>266700</xdr:colOff>
      <xdr:row>15</xdr:row>
      <xdr:rowOff>123825</xdr:rowOff>
    </xdr:from>
    <xdr:ext cx="2943225" cy="466725"/>
    <xdr:grpSp>
      <xdr:nvGrpSpPr>
        <xdr:cNvPr id="14" name="Group 15"/>
        <xdr:cNvGrpSpPr>
          <a:grpSpLocks/>
        </xdr:cNvGrpSpPr>
      </xdr:nvGrpSpPr>
      <xdr:grpSpPr>
        <a:xfrm>
          <a:off x="5953125" y="3095625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DAM">
        <xdr:nvSpPr>
          <xdr:cNvPr id="15" name="Rectangle 16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6" name="Rectangle 17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7" name="Rectangle 18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8" name="Rectangle 19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9" name="Rectangle 20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0" name="Rectangle 21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1" name="Rectangle 22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2" name="Rectangle 23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3" name="Rectangle 24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4" name="Rectangle 25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5" name="Rectangle 26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6" name="Rectangle 27"/>
          <xdr:cNvSpPr>
            <a:spLocks/>
          </xdr:cNvSpPr>
        </xdr:nvSpPr>
        <xdr:spPr>
          <a:xfrm>
            <a:off x="938" y="31"/>
            <a:ext cx="105" cy="29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DAM-Pkt.</a:t>
            </a:r>
          </a:p>
        </xdr:txBody>
      </xdr:sp>
    </xdr:grp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12</xdr:row>
      <xdr:rowOff>0</xdr:rowOff>
    </xdr:from>
    <xdr:ext cx="2943225" cy="466725"/>
    <xdr:grpSp>
      <xdr:nvGrpSpPr>
        <xdr:cNvPr id="1" name="Group 2"/>
        <xdr:cNvGrpSpPr>
          <a:grpSpLocks/>
        </xdr:cNvGrpSpPr>
      </xdr:nvGrpSpPr>
      <xdr:grpSpPr>
        <a:xfrm>
          <a:off x="5953125" y="2400300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Wertung">
        <xdr:nvSpPr>
          <xdr:cNvPr id="2" name="Rectangle 3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3" name="Rectangle 4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4" name="Rectangle 5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5" name="Rectangle 6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6" name="Rectangle 7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7" name="Rectangle 8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8" name="Rectangle 9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9" name="Rectangle 10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0" name="Rectangle 11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1" name="Rectangle 12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2" name="Rectangle 13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3" name="Rectangle 14"/>
          <xdr:cNvSpPr>
            <a:spLocks/>
          </xdr:cNvSpPr>
        </xdr:nvSpPr>
        <xdr:spPr>
          <a:xfrm>
            <a:off x="938" y="31"/>
            <a:ext cx="97" cy="2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Wertung</a:t>
            </a:r>
          </a:p>
        </xdr:txBody>
      </xdr:sp>
    </xdr:grpSp>
    <xdr:clientData fPrintsWithSheet="0"/>
  </xdr:oneCellAnchor>
  <xdr:oneCellAnchor>
    <xdr:from>
      <xdr:col>11</xdr:col>
      <xdr:colOff>266700</xdr:colOff>
      <xdr:row>15</xdr:row>
      <xdr:rowOff>123825</xdr:rowOff>
    </xdr:from>
    <xdr:ext cx="2943225" cy="466725"/>
    <xdr:grpSp>
      <xdr:nvGrpSpPr>
        <xdr:cNvPr id="14" name="Group 15"/>
        <xdr:cNvGrpSpPr>
          <a:grpSpLocks/>
        </xdr:cNvGrpSpPr>
      </xdr:nvGrpSpPr>
      <xdr:grpSpPr>
        <a:xfrm>
          <a:off x="5953125" y="3095625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DAM">
        <xdr:nvSpPr>
          <xdr:cNvPr id="15" name="Rectangle 16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6" name="Rectangle 17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7" name="Rectangle 18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8" name="Rectangle 19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9" name="Rectangle 20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0" name="Rectangle 21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1" name="Rectangle 22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2" name="Rectangle 23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3" name="Rectangle 24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4" name="Rectangle 25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5" name="Rectangle 26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6" name="Rectangle 27"/>
          <xdr:cNvSpPr>
            <a:spLocks/>
          </xdr:cNvSpPr>
        </xdr:nvSpPr>
        <xdr:spPr>
          <a:xfrm>
            <a:off x="938" y="31"/>
            <a:ext cx="105" cy="29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DAM-Pkt.</a:t>
            </a:r>
          </a:p>
        </xdr:txBody>
      </xdr:sp>
    </xdr:grp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12</xdr:row>
      <xdr:rowOff>0</xdr:rowOff>
    </xdr:from>
    <xdr:ext cx="2943225" cy="466725"/>
    <xdr:grpSp>
      <xdr:nvGrpSpPr>
        <xdr:cNvPr id="1" name="Group 2"/>
        <xdr:cNvGrpSpPr>
          <a:grpSpLocks/>
        </xdr:cNvGrpSpPr>
      </xdr:nvGrpSpPr>
      <xdr:grpSpPr>
        <a:xfrm>
          <a:off x="5953125" y="2400300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Wertung">
        <xdr:nvSpPr>
          <xdr:cNvPr id="2" name="Rectangle 3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3" name="Rectangle 4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4" name="Rectangle 5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5" name="Rectangle 6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6" name="Rectangle 7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7" name="Rectangle 8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8" name="Rectangle 9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9" name="Rectangle 10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0" name="Rectangle 11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1" name="Rectangle 12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2" name="Rectangle 13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Wertung">
        <xdr:nvSpPr>
          <xdr:cNvPr id="13" name="Rectangle 14"/>
          <xdr:cNvSpPr>
            <a:spLocks/>
          </xdr:cNvSpPr>
        </xdr:nvSpPr>
        <xdr:spPr>
          <a:xfrm>
            <a:off x="938" y="31"/>
            <a:ext cx="97" cy="25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Wertung</a:t>
            </a:r>
          </a:p>
        </xdr:txBody>
      </xdr:sp>
    </xdr:grpSp>
    <xdr:clientData fPrintsWithSheet="0"/>
  </xdr:oneCellAnchor>
  <xdr:oneCellAnchor>
    <xdr:from>
      <xdr:col>11</xdr:col>
      <xdr:colOff>266700</xdr:colOff>
      <xdr:row>15</xdr:row>
      <xdr:rowOff>123825</xdr:rowOff>
    </xdr:from>
    <xdr:ext cx="2943225" cy="466725"/>
    <xdr:grpSp>
      <xdr:nvGrpSpPr>
        <xdr:cNvPr id="14" name="Group 15"/>
        <xdr:cNvGrpSpPr>
          <a:grpSpLocks/>
        </xdr:cNvGrpSpPr>
      </xdr:nvGrpSpPr>
      <xdr:grpSpPr>
        <a:xfrm>
          <a:off x="5953125" y="3095625"/>
          <a:ext cx="2943225" cy="466725"/>
          <a:chOff x="917" y="6"/>
          <a:chExt cx="140" cy="56"/>
        </a:xfrm>
        <a:solidFill>
          <a:srgbClr val="FFFFFF"/>
        </a:solidFill>
      </xdr:grpSpPr>
      <xdr:sp macro="[0]!Gruppensortierung_nach_DAM">
        <xdr:nvSpPr>
          <xdr:cNvPr id="15" name="Rectangle 16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6" name="Rectangle 17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7" name="Rectangle 18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8" name="Rectangle 19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19" name="Rectangle 20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0" name="Rectangle 21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1" name="Rectangle 22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2" name="Rectangle 23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3" name="Rectangle 24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4" name="Rectangle 25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5" name="Rectangle 26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ruppensortierung_nach_DAM">
        <xdr:nvSpPr>
          <xdr:cNvPr id="26" name="Rectangle 27"/>
          <xdr:cNvSpPr>
            <a:spLocks/>
          </xdr:cNvSpPr>
        </xdr:nvSpPr>
        <xdr:spPr>
          <a:xfrm>
            <a:off x="938" y="31"/>
            <a:ext cx="105" cy="29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 nach DAM-Pkt.</a:t>
            </a:r>
          </a:p>
        </xdr:txBody>
      </xdr:sp>
    </xdr:grp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161925</xdr:colOff>
      <xdr:row>14</xdr:row>
      <xdr:rowOff>57150</xdr:rowOff>
    </xdr:from>
    <xdr:ext cx="1247775" cy="466725"/>
    <xdr:grpSp>
      <xdr:nvGrpSpPr>
        <xdr:cNvPr id="1" name="Group 15"/>
        <xdr:cNvGrpSpPr>
          <a:grpSpLocks/>
        </xdr:cNvGrpSpPr>
      </xdr:nvGrpSpPr>
      <xdr:grpSpPr>
        <a:xfrm>
          <a:off x="6943725" y="2905125"/>
          <a:ext cx="1247775" cy="466725"/>
          <a:chOff x="917" y="6"/>
          <a:chExt cx="140" cy="56"/>
        </a:xfrm>
        <a:solidFill>
          <a:srgbClr val="FFFFFF"/>
        </a:solidFill>
      </xdr:grpSpPr>
      <xdr:sp macro="[0]!Sortierung_Nachwuchs">
        <xdr:nvSpPr>
          <xdr:cNvPr id="2" name="Rectangle 16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3" name="Rectangle 17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4" name="Rectangle 18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5" name="Rectangle 19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6" name="Rectangle 20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7" name="Rectangle 21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8" name="Rectangle 22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9" name="Rectangle 23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10" name="Rectangle 24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11" name="Rectangle 25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12" name="Rectangle 26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ung_Nachwuchs">
        <xdr:nvSpPr>
          <xdr:cNvPr id="13" name="Rectangle 27"/>
          <xdr:cNvSpPr>
            <a:spLocks/>
          </xdr:cNvSpPr>
        </xdr:nvSpPr>
        <xdr:spPr>
          <a:xfrm>
            <a:off x="938" y="31"/>
            <a:ext cx="88" cy="25"/>
          </a:xfrm>
          <a:prstGeom prst="rect">
            <a:avLst/>
          </a:prstGeom>
          <a:solidFill>
            <a:srgbClr val="99CCFF">
              <a:alpha val="41000"/>
            </a:srgbClr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104775</xdr:rowOff>
    </xdr:from>
    <xdr:ext cx="1152525" cy="466725"/>
    <xdr:grpSp>
      <xdr:nvGrpSpPr>
        <xdr:cNvPr id="1" name="Group 1"/>
        <xdr:cNvGrpSpPr>
          <a:grpSpLocks/>
        </xdr:cNvGrpSpPr>
      </xdr:nvGrpSpPr>
      <xdr:grpSpPr>
        <a:xfrm>
          <a:off x="7962900" y="104775"/>
          <a:ext cx="1152525" cy="466725"/>
          <a:chOff x="917" y="6"/>
          <a:chExt cx="140" cy="56"/>
        </a:xfrm>
        <a:solidFill>
          <a:srgbClr val="FFFFFF"/>
        </a:solidFill>
      </xdr:grpSpPr>
      <xdr:sp macro="[0]!Sortieren">
        <xdr:nvSpPr>
          <xdr:cNvPr id="2" name="Rectangle 2"/>
          <xdr:cNvSpPr>
            <a:spLocks/>
          </xdr:cNvSpPr>
        </xdr:nvSpPr>
        <xdr:spPr>
          <a:xfrm>
            <a:off x="917" y="6"/>
            <a:ext cx="140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3" name="Rectangle 3"/>
          <xdr:cNvSpPr>
            <a:spLocks/>
          </xdr:cNvSpPr>
        </xdr:nvSpPr>
        <xdr:spPr>
          <a:xfrm>
            <a:off x="1056" y="6"/>
            <a:ext cx="1" cy="5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4" name="Rectangle 4"/>
          <xdr:cNvSpPr>
            <a:spLocks/>
          </xdr:cNvSpPr>
        </xdr:nvSpPr>
        <xdr:spPr>
          <a:xfrm>
            <a:off x="917" y="61"/>
            <a:ext cx="139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5" name="Rectangle 5"/>
          <xdr:cNvSpPr>
            <a:spLocks/>
          </xdr:cNvSpPr>
        </xdr:nvSpPr>
        <xdr:spPr>
          <a:xfrm>
            <a:off x="917" y="6"/>
            <a:ext cx="1" cy="5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6" name="Rectangle 6"/>
          <xdr:cNvSpPr>
            <a:spLocks/>
          </xdr:cNvSpPr>
        </xdr:nvSpPr>
        <xdr:spPr>
          <a:xfrm>
            <a:off x="918" y="6"/>
            <a:ext cx="138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7" name="Rectangle 7"/>
          <xdr:cNvSpPr>
            <a:spLocks/>
          </xdr:cNvSpPr>
        </xdr:nvSpPr>
        <xdr:spPr>
          <a:xfrm>
            <a:off x="1055" y="7"/>
            <a:ext cx="1" cy="54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8" name="Rectangle 8"/>
          <xdr:cNvSpPr>
            <a:spLocks/>
          </xdr:cNvSpPr>
        </xdr:nvSpPr>
        <xdr:spPr>
          <a:xfrm>
            <a:off x="918" y="60"/>
            <a:ext cx="137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9" name="Rectangle 9"/>
          <xdr:cNvSpPr>
            <a:spLocks/>
          </xdr:cNvSpPr>
        </xdr:nvSpPr>
        <xdr:spPr>
          <a:xfrm>
            <a:off x="918" y="7"/>
            <a:ext cx="1" cy="53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0" name="Rectangle 10"/>
          <xdr:cNvSpPr>
            <a:spLocks/>
          </xdr:cNvSpPr>
        </xdr:nvSpPr>
        <xdr:spPr>
          <a:xfrm>
            <a:off x="919" y="7"/>
            <a:ext cx="136" cy="1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1" name="Rectangle 11"/>
          <xdr:cNvSpPr>
            <a:spLocks/>
          </xdr:cNvSpPr>
        </xdr:nvSpPr>
        <xdr:spPr>
          <a:xfrm>
            <a:off x="919" y="8"/>
            <a:ext cx="136" cy="5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2" name="Rectangle 12"/>
          <xdr:cNvSpPr>
            <a:spLocks/>
          </xdr:cNvSpPr>
        </xdr:nvSpPr>
        <xdr:spPr>
          <a:xfrm>
            <a:off x="920" y="9"/>
            <a:ext cx="134" cy="50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rtieren">
        <xdr:nvSpPr>
          <xdr:cNvPr id="13" name="Rectangle 13"/>
          <xdr:cNvSpPr>
            <a:spLocks/>
          </xdr:cNvSpPr>
        </xdr:nvSpPr>
        <xdr:spPr>
          <a:xfrm>
            <a:off x="938" y="31"/>
            <a:ext cx="96" cy="25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Sortieren</a:t>
            </a:r>
          </a:p>
        </xdr:txBody>
      </xdr:sp>
    </xdr:grp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1"/>
  <sheetViews>
    <sheetView zoomScalePageLayoutView="0" workbookViewId="0" topLeftCell="B1">
      <selection activeCell="C2" sqref="C2"/>
    </sheetView>
  </sheetViews>
  <sheetFormatPr defaultColWidth="11.421875" defaultRowHeight="12.75"/>
  <cols>
    <col min="1" max="1" width="0" style="0" hidden="1" customWidth="1"/>
    <col min="2" max="2" width="27.28125" style="0" customWidth="1"/>
    <col min="3" max="3" width="43.8515625" style="0" customWidth="1"/>
  </cols>
  <sheetData>
    <row r="1" spans="1:3" ht="15">
      <c r="A1" t="s">
        <v>0</v>
      </c>
      <c r="B1" s="47" t="s">
        <v>57</v>
      </c>
      <c r="C1" t="s">
        <v>247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50</v>
      </c>
      <c r="B2" s="50"/>
      <c r="C2" s="60"/>
      <c r="D2" s="50">
        <f>MAX(A5:A34)</f>
        <v>4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IF(ISBLANK(C5),"",IF(A5&lt;=Gold_8,Goldplakette,IF(A5&lt;=Silber_8,Silberplakette,IF(A5&lt;=Bronze_8,Bronzeplakette,Erinnerung))))</f>
        <v>G</v>
      </c>
      <c r="C5" s="56">
        <v>103</v>
      </c>
      <c r="D5" s="36">
        <f aca="true" t="shared" si="1" ref="D5:D34">IF(ISBLANK(C5),"",VLOOKUP(C5,Starter_Feld,2,FALSE))</f>
        <v>12383</v>
      </c>
      <c r="E5" s="37" t="str">
        <f aca="true" t="shared" si="2" ref="E5:E34">IF(ISBLANK(C5),"",VLOOKUP(C5,Starter_Feld,3,FALSE))</f>
        <v>Beer, Hans</v>
      </c>
      <c r="F5" s="38" t="str">
        <f aca="true" t="shared" si="3" ref="F5:F34">IF(ISBLANK(C5),"",VLOOKUP(C5,Starter_Feld,4,FALSE))</f>
        <v>MSC Berg</v>
      </c>
      <c r="G5" s="39" t="str">
        <f aca="true" t="shared" si="4" ref="G5:G34">IF(ISBLANK(C5),"",VLOOKUP(C5,Starter_Feld,5,FALSE))</f>
        <v>VW Polo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0.0006517361111111112</v>
      </c>
      <c r="K5" s="68"/>
      <c r="L5" s="41">
        <f aca="true" t="shared" si="7" ref="L5:L34">SUM(0.000011575*K5)</f>
        <v>0</v>
      </c>
      <c r="M5" s="41">
        <f aca="true" t="shared" si="8" ref="M5:M34">SUM(J5,L5)</f>
        <v>0.0006517361111111112</v>
      </c>
      <c r="N5" s="88">
        <f aca="true" t="shared" si="9" ref="N5:N34">IF(J5&lt;&gt;0,M5,"")</f>
        <v>0.0006517361111111112</v>
      </c>
      <c r="O5" s="71">
        <v>0.0006560185185185185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0.0006560185185185185</v>
      </c>
      <c r="S5" s="81">
        <f aca="true" t="shared" si="12" ref="S5:S34">IF(O5&lt;&gt;0,R5,"")</f>
        <v>0.0006560185185185185</v>
      </c>
      <c r="T5" s="82">
        <f aca="true" t="shared" si="13" ref="T5:T34">MIN(N5,S5)</f>
        <v>0.0006517361111111112</v>
      </c>
      <c r="U5" s="83">
        <f aca="true" t="shared" si="14" ref="U5:U34">IF(O5=0,"",T5)</f>
        <v>0.0006517361111111112</v>
      </c>
      <c r="V5" s="84">
        <f aca="true" t="shared" si="15" ref="V5:V34">23-(20*(A5))/D$2</f>
        <v>18</v>
      </c>
      <c r="W5" s="138">
        <f aca="true" t="shared" si="16" ref="W5:W34">IF(O5=0,"",V5)</f>
        <v>18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S</v>
      </c>
      <c r="C6" s="57">
        <v>969</v>
      </c>
      <c r="D6" s="36">
        <f t="shared" si="1"/>
        <v>14889</v>
      </c>
      <c r="E6" s="37" t="str">
        <f t="shared" si="2"/>
        <v>Eisen, Mathias</v>
      </c>
      <c r="F6" s="38" t="str">
        <f t="shared" si="3"/>
        <v>AC Gunzenhausen</v>
      </c>
      <c r="G6" s="39" t="str">
        <f t="shared" si="4"/>
        <v>Fiat Cinquecento</v>
      </c>
      <c r="H6" s="38">
        <f t="shared" si="5"/>
        <v>0</v>
      </c>
      <c r="I6" s="137">
        <f t="shared" si="6"/>
        <v>0</v>
      </c>
      <c r="J6" s="69">
        <v>0.0007432870370370371</v>
      </c>
      <c r="K6" s="70"/>
      <c r="L6" s="42">
        <f t="shared" si="7"/>
        <v>0</v>
      </c>
      <c r="M6" s="42">
        <f t="shared" si="8"/>
        <v>0.0007432870370370371</v>
      </c>
      <c r="N6" s="89">
        <f t="shared" si="9"/>
        <v>0.0007432870370370371</v>
      </c>
      <c r="O6" s="73">
        <v>0.0007241898148148148</v>
      </c>
      <c r="P6" s="74">
        <v>5</v>
      </c>
      <c r="Q6" s="42">
        <f t="shared" si="10"/>
        <v>5.7875E-05</v>
      </c>
      <c r="R6" s="42">
        <f t="shared" si="11"/>
        <v>0.0007820648148148148</v>
      </c>
      <c r="S6" s="85">
        <f t="shared" si="12"/>
        <v>0.0007820648148148148</v>
      </c>
      <c r="T6" s="82">
        <f t="shared" si="13"/>
        <v>0.0007432870370370371</v>
      </c>
      <c r="U6" s="86">
        <f t="shared" si="14"/>
        <v>0.0007432870370370371</v>
      </c>
      <c r="V6" s="84">
        <f t="shared" si="15"/>
        <v>13</v>
      </c>
      <c r="W6" s="139">
        <f t="shared" si="16"/>
        <v>13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B</v>
      </c>
      <c r="C7" s="57">
        <v>408</v>
      </c>
      <c r="D7" s="36">
        <f t="shared" si="1"/>
        <v>15432</v>
      </c>
      <c r="E7" s="37" t="str">
        <f t="shared" si="2"/>
        <v>Eisen, Angelika</v>
      </c>
      <c r="F7" s="38" t="str">
        <f t="shared" si="3"/>
        <v>AC Gunzenhausen</v>
      </c>
      <c r="G7" s="39" t="str">
        <f t="shared" si="4"/>
        <v>Fiat Cinquecento</v>
      </c>
      <c r="H7" s="38">
        <f t="shared" si="5"/>
        <v>0</v>
      </c>
      <c r="I7" s="137">
        <f t="shared" si="6"/>
        <v>1</v>
      </c>
      <c r="J7" s="69">
        <v>0.0007842592592592593</v>
      </c>
      <c r="K7" s="70"/>
      <c r="L7" s="42">
        <f t="shared" si="7"/>
        <v>0</v>
      </c>
      <c r="M7" s="42">
        <f t="shared" si="8"/>
        <v>0.0007842592592592593</v>
      </c>
      <c r="N7" s="89">
        <f t="shared" si="9"/>
        <v>0.0007842592592592593</v>
      </c>
      <c r="O7" s="73">
        <v>0.0007847222222222221</v>
      </c>
      <c r="P7" s="74">
        <v>10</v>
      </c>
      <c r="Q7" s="42">
        <f t="shared" si="10"/>
        <v>0.00011575</v>
      </c>
      <c r="R7" s="42">
        <f t="shared" si="11"/>
        <v>0.0009004722222222221</v>
      </c>
      <c r="S7" s="85">
        <f t="shared" si="12"/>
        <v>0.0009004722222222221</v>
      </c>
      <c r="T7" s="82">
        <f t="shared" si="13"/>
        <v>0.0007842592592592593</v>
      </c>
      <c r="U7" s="86">
        <f t="shared" si="14"/>
        <v>0.0007842592592592593</v>
      </c>
      <c r="V7" s="84">
        <f t="shared" si="15"/>
        <v>8</v>
      </c>
      <c r="W7" s="139">
        <f t="shared" si="16"/>
        <v>8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E</v>
      </c>
      <c r="C8" s="57">
        <v>499</v>
      </c>
      <c r="D8" s="36">
        <f t="shared" si="1"/>
        <v>0</v>
      </c>
      <c r="E8" s="37" t="str">
        <f t="shared" si="2"/>
        <v>Männl, Michael</v>
      </c>
      <c r="F8" s="38" t="str">
        <f t="shared" si="3"/>
        <v>RST Mittelfranken</v>
      </c>
      <c r="G8" s="39" t="str">
        <f t="shared" si="4"/>
        <v>Fiat 127</v>
      </c>
      <c r="H8" s="38">
        <f t="shared" si="5"/>
        <v>0</v>
      </c>
      <c r="I8" s="137">
        <f t="shared" si="6"/>
        <v>0</v>
      </c>
      <c r="J8" s="69">
        <v>0.0008590277777777779</v>
      </c>
      <c r="K8" s="70" t="s">
        <v>308</v>
      </c>
      <c r="L8" s="42">
        <f t="shared" si="7"/>
        <v>0.00104175</v>
      </c>
      <c r="M8" s="42">
        <f t="shared" si="8"/>
        <v>0.0019007777777777777</v>
      </c>
      <c r="N8" s="89">
        <f t="shared" si="9"/>
        <v>0.0019007777777777777</v>
      </c>
      <c r="O8" s="73">
        <v>0.0007068287037037038</v>
      </c>
      <c r="P8" s="74">
        <v>30</v>
      </c>
      <c r="Q8" s="42">
        <f t="shared" si="10"/>
        <v>0.00034725</v>
      </c>
      <c r="R8" s="42">
        <f t="shared" si="11"/>
        <v>0.0010540787037037038</v>
      </c>
      <c r="S8" s="85">
        <f t="shared" si="12"/>
        <v>0.0010540787037037038</v>
      </c>
      <c r="T8" s="82">
        <f t="shared" si="13"/>
        <v>0.0010540787037037038</v>
      </c>
      <c r="U8" s="86">
        <f t="shared" si="14"/>
        <v>0.0010540787037037038</v>
      </c>
      <c r="V8" s="84">
        <f t="shared" si="15"/>
        <v>3</v>
      </c>
      <c r="W8" s="139">
        <f t="shared" si="16"/>
        <v>3</v>
      </c>
      <c r="X8" s="1"/>
    </row>
    <row r="9" spans="1:24" s="33" customFormat="1" ht="15" customHeight="1">
      <c r="A9" s="45">
        <f t="shared" si="17"/>
      </c>
      <c r="B9" s="40">
        <f t="shared" si="0"/>
      </c>
      <c r="C9" s="57"/>
      <c r="D9" s="36">
        <f t="shared" si="1"/>
      </c>
      <c r="E9" s="37">
        <f t="shared" si="2"/>
      </c>
      <c r="F9" s="38">
        <f t="shared" si="3"/>
      </c>
      <c r="G9" s="39">
        <f t="shared" si="4"/>
      </c>
      <c r="H9" s="38">
        <f t="shared" si="5"/>
      </c>
      <c r="I9" s="137">
        <f t="shared" si="6"/>
      </c>
      <c r="J9" s="69"/>
      <c r="K9" s="70"/>
      <c r="L9" s="42">
        <f t="shared" si="7"/>
        <v>0</v>
      </c>
      <c r="M9" s="42">
        <f t="shared" si="8"/>
        <v>0</v>
      </c>
      <c r="N9" s="89">
        <f t="shared" si="9"/>
      </c>
      <c r="O9" s="73"/>
      <c r="P9" s="74"/>
      <c r="Q9" s="42">
        <f t="shared" si="10"/>
        <v>0</v>
      </c>
      <c r="R9" s="42">
        <f t="shared" si="11"/>
        <v>0</v>
      </c>
      <c r="S9" s="85">
        <f t="shared" si="12"/>
      </c>
      <c r="T9" s="82">
        <f t="shared" si="13"/>
        <v>0</v>
      </c>
      <c r="U9" s="86">
        <f t="shared" si="14"/>
      </c>
      <c r="V9" s="84" t="e">
        <f t="shared" si="15"/>
        <v>#VALUE!</v>
      </c>
      <c r="W9" s="139">
        <f t="shared" si="16"/>
      </c>
      <c r="X9" s="1"/>
    </row>
    <row r="10" spans="1:24" s="33" customFormat="1" ht="15" customHeight="1">
      <c r="A10" s="45">
        <f t="shared" si="17"/>
      </c>
      <c r="B10" s="40">
        <f t="shared" si="0"/>
      </c>
      <c r="C10" s="57"/>
      <c r="D10" s="36">
        <f t="shared" si="1"/>
      </c>
      <c r="E10" s="37">
        <f t="shared" si="2"/>
      </c>
      <c r="F10" s="38">
        <f t="shared" si="3"/>
      </c>
      <c r="G10" s="39">
        <f t="shared" si="4"/>
      </c>
      <c r="H10" s="38">
        <f t="shared" si="5"/>
      </c>
      <c r="I10" s="137">
        <f t="shared" si="6"/>
      </c>
      <c r="J10" s="69"/>
      <c r="K10" s="70"/>
      <c r="L10" s="42">
        <f t="shared" si="7"/>
        <v>0</v>
      </c>
      <c r="M10" s="42">
        <f t="shared" si="8"/>
        <v>0</v>
      </c>
      <c r="N10" s="89">
        <f t="shared" si="9"/>
      </c>
      <c r="O10" s="73"/>
      <c r="P10" s="74"/>
      <c r="Q10" s="42">
        <f t="shared" si="10"/>
        <v>0</v>
      </c>
      <c r="R10" s="42">
        <f t="shared" si="11"/>
        <v>0</v>
      </c>
      <c r="S10" s="85">
        <f t="shared" si="12"/>
      </c>
      <c r="T10" s="82">
        <f t="shared" si="13"/>
        <v>0</v>
      </c>
      <c r="U10" s="86">
        <f t="shared" si="14"/>
      </c>
      <c r="V10" s="84" t="e">
        <f t="shared" si="15"/>
        <v>#VALUE!</v>
      </c>
      <c r="W10" s="139">
        <f t="shared" si="16"/>
      </c>
      <c r="X10" s="1"/>
    </row>
    <row r="11" spans="1:24" s="33" customFormat="1" ht="15" customHeight="1">
      <c r="A11" s="45">
        <f t="shared" si="17"/>
      </c>
      <c r="B11" s="40">
        <f t="shared" si="0"/>
      </c>
      <c r="C11" s="57"/>
      <c r="D11" s="36">
        <f t="shared" si="1"/>
      </c>
      <c r="E11" s="37">
        <f t="shared" si="2"/>
      </c>
      <c r="F11" s="38">
        <f t="shared" si="3"/>
      </c>
      <c r="G11" s="39">
        <f t="shared" si="4"/>
      </c>
      <c r="H11" s="38">
        <f t="shared" si="5"/>
      </c>
      <c r="I11" s="137">
        <f t="shared" si="6"/>
      </c>
      <c r="J11" s="69"/>
      <c r="K11" s="70"/>
      <c r="L11" s="42">
        <f t="shared" si="7"/>
        <v>0</v>
      </c>
      <c r="M11" s="42">
        <f t="shared" si="8"/>
        <v>0</v>
      </c>
      <c r="N11" s="89">
        <f t="shared" si="9"/>
      </c>
      <c r="O11" s="73"/>
      <c r="P11" s="74"/>
      <c r="Q11" s="42">
        <f t="shared" si="10"/>
        <v>0</v>
      </c>
      <c r="R11" s="42">
        <f t="shared" si="11"/>
        <v>0</v>
      </c>
      <c r="S11" s="85">
        <f t="shared" si="12"/>
      </c>
      <c r="T11" s="82">
        <f t="shared" si="13"/>
        <v>0</v>
      </c>
      <c r="U11" s="86">
        <f t="shared" si="14"/>
      </c>
      <c r="V11" s="84" t="e">
        <f t="shared" si="15"/>
        <v>#VALUE!</v>
      </c>
      <c r="W11" s="139">
        <f t="shared" si="16"/>
      </c>
      <c r="X11" s="1"/>
    </row>
    <row r="12" spans="1:24" s="33" customFormat="1" ht="15" customHeight="1">
      <c r="A12" s="45">
        <f t="shared" si="17"/>
      </c>
      <c r="B12" s="40">
        <f t="shared" si="0"/>
      </c>
      <c r="C12" s="57"/>
      <c r="D12" s="36">
        <f t="shared" si="1"/>
      </c>
      <c r="E12" s="37">
        <f t="shared" si="2"/>
      </c>
      <c r="F12" s="38">
        <f t="shared" si="3"/>
      </c>
      <c r="G12" s="39">
        <f t="shared" si="4"/>
      </c>
      <c r="H12" s="38">
        <f t="shared" si="5"/>
      </c>
      <c r="I12" s="137">
        <f t="shared" si="6"/>
      </c>
      <c r="J12" s="141"/>
      <c r="K12" s="70"/>
      <c r="L12" s="42">
        <f t="shared" si="7"/>
        <v>0</v>
      </c>
      <c r="M12" s="42">
        <f t="shared" si="8"/>
        <v>0</v>
      </c>
      <c r="N12" s="89">
        <f t="shared" si="9"/>
      </c>
      <c r="O12" s="73"/>
      <c r="P12" s="74"/>
      <c r="Q12" s="42">
        <f t="shared" si="10"/>
        <v>0</v>
      </c>
      <c r="R12" s="42">
        <f t="shared" si="11"/>
        <v>0</v>
      </c>
      <c r="S12" s="85">
        <f t="shared" si="12"/>
      </c>
      <c r="T12" s="82">
        <f t="shared" si="13"/>
        <v>0</v>
      </c>
      <c r="U12" s="86">
        <f t="shared" si="14"/>
      </c>
      <c r="V12" s="84" t="e">
        <f t="shared" si="15"/>
        <v>#VALUE!</v>
      </c>
      <c r="W12" s="139">
        <f t="shared" si="16"/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51</v>
      </c>
      <c r="B2" s="50"/>
      <c r="C2" s="60"/>
      <c r="D2" s="50">
        <f>MAX(A5:A34)</f>
        <v>11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IF(ISBLANK(C5),"",IF(A5&lt;=Gold_9,Goldplakette,IF(A5&lt;=Silber_9,Silberplakette,IF(A5&lt;=Bronze_9,Bronzeplakette,Erinnerung))))</f>
        <v>G</v>
      </c>
      <c r="C5" s="56">
        <v>237</v>
      </c>
      <c r="D5" s="36">
        <f aca="true" t="shared" si="1" ref="D5:D34">IF(ISBLANK(C5),"",VLOOKUP(C5,Starter_Feld,2,FALSE))</f>
        <v>14513</v>
      </c>
      <c r="E5" s="37" t="str">
        <f aca="true" t="shared" si="2" ref="E5:E34">IF(ISBLANK(C5),"",VLOOKUP(C5,Starter_Feld,3,FALSE))</f>
        <v>Zollner, Christian</v>
      </c>
      <c r="F5" s="38" t="str">
        <f aca="true" t="shared" si="3" ref="F5:F34">IF(ISBLANK(C5),"",VLOOKUP(C5,Starter_Feld,4,FALSE))</f>
        <v>SFK Hansenried</v>
      </c>
      <c r="G5" s="39" t="str">
        <f aca="true" t="shared" si="4" ref="G5:G34">IF(ISBLANK(C5),"",VLOOKUP(C5,Starter_Feld,5,FALSE))</f>
        <v>NSU TT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0.000650462962962963</v>
      </c>
      <c r="K5" s="68"/>
      <c r="L5" s="41">
        <f aca="true" t="shared" si="7" ref="L5:L34">SUM(0.000011575*K5)</f>
        <v>0</v>
      </c>
      <c r="M5" s="41">
        <f aca="true" t="shared" si="8" ref="M5:M34">SUM(J5,L5)</f>
        <v>0.000650462962962963</v>
      </c>
      <c r="N5" s="88">
        <f aca="true" t="shared" si="9" ref="N5:N34">IF(J5&lt;&gt;0,M5,"")</f>
        <v>0.000650462962962963</v>
      </c>
      <c r="O5" s="71">
        <v>0.0006703703703703703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0.0006703703703703703</v>
      </c>
      <c r="S5" s="81">
        <f aca="true" t="shared" si="12" ref="S5:S34">IF(O5&lt;&gt;0,R5,"")</f>
        <v>0.0006703703703703703</v>
      </c>
      <c r="T5" s="82">
        <f aca="true" t="shared" si="13" ref="T5:T34">MIN(N5,S5)</f>
        <v>0.000650462962962963</v>
      </c>
      <c r="U5" s="83">
        <f aca="true" t="shared" si="14" ref="U5:U34">IF(O5=0,"",T5)</f>
        <v>0.000650462962962963</v>
      </c>
      <c r="V5" s="84">
        <f aca="true" t="shared" si="15" ref="V5:V34">23-(20*(A5))/D$2</f>
        <v>21.181818181818183</v>
      </c>
      <c r="W5" s="138">
        <f aca="true" t="shared" si="16" ref="W5:W34">IF(O5=0,"",V5)</f>
        <v>21.181818181818183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G</v>
      </c>
      <c r="C6" s="57">
        <v>76</v>
      </c>
      <c r="D6" s="36">
        <f t="shared" si="1"/>
        <v>40063</v>
      </c>
      <c r="E6" s="37" t="str">
        <f t="shared" si="2"/>
        <v>Rötzer, Herbert</v>
      </c>
      <c r="F6" s="38" t="str">
        <f t="shared" si="3"/>
        <v>SFK Hansenried</v>
      </c>
      <c r="G6" s="39" t="str">
        <f t="shared" si="4"/>
        <v>NSU TT</v>
      </c>
      <c r="H6" s="38">
        <f t="shared" si="5"/>
        <v>0</v>
      </c>
      <c r="I6" s="137">
        <f t="shared" si="6"/>
        <v>0</v>
      </c>
      <c r="J6" s="69">
        <v>0.0006596064814814815</v>
      </c>
      <c r="K6" s="70"/>
      <c r="L6" s="42">
        <f t="shared" si="7"/>
        <v>0</v>
      </c>
      <c r="M6" s="42">
        <f t="shared" si="8"/>
        <v>0.0006596064814814815</v>
      </c>
      <c r="N6" s="89">
        <f t="shared" si="9"/>
        <v>0.0006596064814814815</v>
      </c>
      <c r="O6" s="73">
        <v>0.0006607638888888888</v>
      </c>
      <c r="P6" s="74"/>
      <c r="Q6" s="42">
        <f t="shared" si="10"/>
        <v>0</v>
      </c>
      <c r="R6" s="42">
        <f t="shared" si="11"/>
        <v>0.0006607638888888888</v>
      </c>
      <c r="S6" s="85">
        <f t="shared" si="12"/>
        <v>0.0006607638888888888</v>
      </c>
      <c r="T6" s="82">
        <f t="shared" si="13"/>
        <v>0.0006596064814814815</v>
      </c>
      <c r="U6" s="86">
        <f t="shared" si="14"/>
        <v>0.0006596064814814815</v>
      </c>
      <c r="V6" s="84">
        <f t="shared" si="15"/>
        <v>19.363636363636363</v>
      </c>
      <c r="W6" s="139">
        <f t="shared" si="16"/>
        <v>19.363636363636363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S</v>
      </c>
      <c r="C7" s="57">
        <v>188</v>
      </c>
      <c r="D7" s="36">
        <f t="shared" si="1"/>
        <v>13133</v>
      </c>
      <c r="E7" s="37" t="str">
        <f t="shared" si="2"/>
        <v>Rötzer, Richard</v>
      </c>
      <c r="F7" s="38" t="str">
        <f t="shared" si="3"/>
        <v>SFK Hansenried</v>
      </c>
      <c r="G7" s="39" t="str">
        <f t="shared" si="4"/>
        <v>NSU TT</v>
      </c>
      <c r="H7" s="38">
        <f t="shared" si="5"/>
        <v>0</v>
      </c>
      <c r="I7" s="137">
        <f t="shared" si="6"/>
        <v>0</v>
      </c>
      <c r="J7" s="69">
        <v>0.0006640046296296295</v>
      </c>
      <c r="K7" s="70"/>
      <c r="L7" s="42">
        <f t="shared" si="7"/>
        <v>0</v>
      </c>
      <c r="M7" s="42">
        <f t="shared" si="8"/>
        <v>0.0006640046296296295</v>
      </c>
      <c r="N7" s="89">
        <f t="shared" si="9"/>
        <v>0.0006640046296296295</v>
      </c>
      <c r="O7" s="73">
        <v>0.0006616898148148147</v>
      </c>
      <c r="P7" s="74"/>
      <c r="Q7" s="42">
        <f t="shared" si="10"/>
        <v>0</v>
      </c>
      <c r="R7" s="42">
        <f t="shared" si="11"/>
        <v>0.0006616898148148147</v>
      </c>
      <c r="S7" s="85">
        <f t="shared" si="12"/>
        <v>0.0006616898148148147</v>
      </c>
      <c r="T7" s="82">
        <f t="shared" si="13"/>
        <v>0.0006616898148148147</v>
      </c>
      <c r="U7" s="86">
        <f t="shared" si="14"/>
        <v>0.0006616898148148147</v>
      </c>
      <c r="V7" s="84">
        <f t="shared" si="15"/>
        <v>17.545454545454547</v>
      </c>
      <c r="W7" s="139">
        <f t="shared" si="16"/>
        <v>17.545454545454547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S</v>
      </c>
      <c r="C8" s="57">
        <v>960</v>
      </c>
      <c r="D8" s="36">
        <f t="shared" si="1"/>
        <v>9739</v>
      </c>
      <c r="E8" s="37" t="str">
        <f t="shared" si="2"/>
        <v>Kunz, Helmut</v>
      </c>
      <c r="F8" s="38" t="str">
        <f t="shared" si="3"/>
        <v>MSC Sophienthal</v>
      </c>
      <c r="G8" s="39" t="str">
        <f t="shared" si="4"/>
        <v>NSU TT </v>
      </c>
      <c r="H8" s="38">
        <f t="shared" si="5"/>
        <v>0</v>
      </c>
      <c r="I8" s="137">
        <f t="shared" si="6"/>
        <v>0</v>
      </c>
      <c r="J8" s="69">
        <v>0.0006675925925925926</v>
      </c>
      <c r="K8" s="70" t="s">
        <v>47</v>
      </c>
      <c r="L8" s="42">
        <f t="shared" si="7"/>
        <v>5.7875E-05</v>
      </c>
      <c r="M8" s="42">
        <f t="shared" si="8"/>
        <v>0.0007254675925925925</v>
      </c>
      <c r="N8" s="89">
        <f t="shared" si="9"/>
        <v>0.0007254675925925925</v>
      </c>
      <c r="O8" s="73">
        <v>0.0006659722222222222</v>
      </c>
      <c r="P8" s="74"/>
      <c r="Q8" s="42">
        <f t="shared" si="10"/>
        <v>0</v>
      </c>
      <c r="R8" s="42">
        <f t="shared" si="11"/>
        <v>0.0006659722222222222</v>
      </c>
      <c r="S8" s="85">
        <f t="shared" si="12"/>
        <v>0.0006659722222222222</v>
      </c>
      <c r="T8" s="82">
        <f t="shared" si="13"/>
        <v>0.0006659722222222222</v>
      </c>
      <c r="U8" s="86">
        <f t="shared" si="14"/>
        <v>0.0006659722222222222</v>
      </c>
      <c r="V8" s="84">
        <f t="shared" si="15"/>
        <v>15.727272727272727</v>
      </c>
      <c r="W8" s="139">
        <f t="shared" si="16"/>
        <v>15.727272727272727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S</v>
      </c>
      <c r="C9" s="57">
        <v>458</v>
      </c>
      <c r="D9" s="36">
        <f t="shared" si="1"/>
        <v>20208</v>
      </c>
      <c r="E9" s="37" t="str">
        <f t="shared" si="2"/>
        <v>Link, Christian</v>
      </c>
      <c r="F9" s="38" t="str">
        <f t="shared" si="3"/>
        <v>RHT Rohrenstadt</v>
      </c>
      <c r="G9" s="39" t="str">
        <f t="shared" si="4"/>
        <v>VW Polo</v>
      </c>
      <c r="H9" s="38">
        <f t="shared" si="5"/>
        <v>0</v>
      </c>
      <c r="I9" s="137">
        <f t="shared" si="6"/>
        <v>0</v>
      </c>
      <c r="J9" s="69">
        <v>0.0006335648148148148</v>
      </c>
      <c r="K9" s="70" t="s">
        <v>47</v>
      </c>
      <c r="L9" s="42">
        <f t="shared" si="7"/>
        <v>5.7875E-05</v>
      </c>
      <c r="M9" s="42">
        <f t="shared" si="8"/>
        <v>0.0006914398148148148</v>
      </c>
      <c r="N9" s="89">
        <f t="shared" si="9"/>
        <v>0.0006914398148148148</v>
      </c>
      <c r="O9" s="73">
        <v>0.0006261574074074074</v>
      </c>
      <c r="P9" s="74">
        <v>5</v>
      </c>
      <c r="Q9" s="42">
        <f t="shared" si="10"/>
        <v>5.7875E-05</v>
      </c>
      <c r="R9" s="42">
        <f t="shared" si="11"/>
        <v>0.0006840324074074074</v>
      </c>
      <c r="S9" s="85">
        <f t="shared" si="12"/>
        <v>0.0006840324074074074</v>
      </c>
      <c r="T9" s="82">
        <f t="shared" si="13"/>
        <v>0.0006840324074074074</v>
      </c>
      <c r="U9" s="86">
        <f t="shared" si="14"/>
        <v>0.0006840324074074074</v>
      </c>
      <c r="V9" s="84">
        <f t="shared" si="15"/>
        <v>13.909090909090908</v>
      </c>
      <c r="W9" s="139">
        <f t="shared" si="16"/>
        <v>13.909090909090908</v>
      </c>
      <c r="X9" s="1"/>
    </row>
    <row r="10" spans="1:24" s="33" customFormat="1" ht="15" customHeight="1">
      <c r="A10" s="45">
        <f t="shared" si="17"/>
        <v>6</v>
      </c>
      <c r="B10" s="40" t="str">
        <f t="shared" si="0"/>
        <v>B</v>
      </c>
      <c r="C10" s="57">
        <v>236</v>
      </c>
      <c r="D10" s="36">
        <f t="shared" si="1"/>
        <v>0</v>
      </c>
      <c r="E10" s="37" t="str">
        <f t="shared" si="2"/>
        <v>Kunz, Marco</v>
      </c>
      <c r="F10" s="38">
        <f t="shared" si="3"/>
        <v>0</v>
      </c>
      <c r="G10" s="39" t="str">
        <f t="shared" si="4"/>
        <v>VW Polo</v>
      </c>
      <c r="H10" s="38">
        <f t="shared" si="5"/>
        <v>0</v>
      </c>
      <c r="I10" s="137">
        <f t="shared" si="6"/>
        <v>0</v>
      </c>
      <c r="J10" s="69">
        <v>0.0006993055555555554</v>
      </c>
      <c r="K10" s="70"/>
      <c r="L10" s="42">
        <f t="shared" si="7"/>
        <v>0</v>
      </c>
      <c r="M10" s="42">
        <f t="shared" si="8"/>
        <v>0.0006993055555555554</v>
      </c>
      <c r="N10" s="89">
        <f t="shared" si="9"/>
        <v>0.0006993055555555554</v>
      </c>
      <c r="O10" s="73">
        <v>0.0006846064814814815</v>
      </c>
      <c r="P10" s="74"/>
      <c r="Q10" s="42">
        <f t="shared" si="10"/>
        <v>0</v>
      </c>
      <c r="R10" s="42">
        <f t="shared" si="11"/>
        <v>0.0006846064814814815</v>
      </c>
      <c r="S10" s="85">
        <f t="shared" si="12"/>
        <v>0.0006846064814814815</v>
      </c>
      <c r="T10" s="82">
        <f t="shared" si="13"/>
        <v>0.0006846064814814815</v>
      </c>
      <c r="U10" s="86">
        <f t="shared" si="14"/>
        <v>0.0006846064814814815</v>
      </c>
      <c r="V10" s="84">
        <f t="shared" si="15"/>
        <v>12.090909090909092</v>
      </c>
      <c r="W10" s="139">
        <f t="shared" si="16"/>
        <v>12.090909090909092</v>
      </c>
      <c r="X10" s="1"/>
    </row>
    <row r="11" spans="1:24" s="33" customFormat="1" ht="15" customHeight="1">
      <c r="A11" s="45">
        <f t="shared" si="17"/>
        <v>7</v>
      </c>
      <c r="B11" s="40" t="str">
        <f t="shared" si="0"/>
        <v>B</v>
      </c>
      <c r="C11" s="57">
        <v>470</v>
      </c>
      <c r="D11" s="36">
        <f t="shared" si="1"/>
        <v>40043</v>
      </c>
      <c r="E11" s="37" t="str">
        <f t="shared" si="2"/>
        <v>Turban, Josef</v>
      </c>
      <c r="F11" s="38" t="str">
        <f t="shared" si="3"/>
        <v>SFK Hansenried</v>
      </c>
      <c r="G11" s="39" t="str">
        <f t="shared" si="4"/>
        <v>VW Polo</v>
      </c>
      <c r="H11" s="38">
        <f t="shared" si="5"/>
        <v>0</v>
      </c>
      <c r="I11" s="137">
        <f t="shared" si="6"/>
        <v>0</v>
      </c>
      <c r="J11" s="69">
        <v>0.0006460648148148148</v>
      </c>
      <c r="K11" s="70" t="s">
        <v>339</v>
      </c>
      <c r="L11" s="42">
        <f t="shared" si="7"/>
        <v>0.00034725</v>
      </c>
      <c r="M11" s="42">
        <f t="shared" si="8"/>
        <v>0.000993314814814815</v>
      </c>
      <c r="N11" s="89">
        <f t="shared" si="9"/>
        <v>0.000993314814814815</v>
      </c>
      <c r="O11" s="73">
        <v>0.0006491898148148149</v>
      </c>
      <c r="P11" s="74">
        <v>5</v>
      </c>
      <c r="Q11" s="42">
        <f t="shared" si="10"/>
        <v>5.7875E-05</v>
      </c>
      <c r="R11" s="42">
        <f t="shared" si="11"/>
        <v>0.0007070648148148149</v>
      </c>
      <c r="S11" s="85">
        <f t="shared" si="12"/>
        <v>0.0007070648148148149</v>
      </c>
      <c r="T11" s="82">
        <f t="shared" si="13"/>
        <v>0.0007070648148148149</v>
      </c>
      <c r="U11" s="86">
        <f t="shared" si="14"/>
        <v>0.0007070648148148149</v>
      </c>
      <c r="V11" s="84">
        <f t="shared" si="15"/>
        <v>10.272727272727273</v>
      </c>
      <c r="W11" s="139">
        <f t="shared" si="16"/>
        <v>10.272727272727273</v>
      </c>
      <c r="X11" s="1"/>
    </row>
    <row r="12" spans="1:24" s="33" customFormat="1" ht="15" customHeight="1">
      <c r="A12" s="45">
        <f t="shared" si="17"/>
        <v>8</v>
      </c>
      <c r="B12" s="40" t="str">
        <f t="shared" si="0"/>
        <v>B</v>
      </c>
      <c r="C12" s="57">
        <v>111</v>
      </c>
      <c r="D12" s="36">
        <f t="shared" si="1"/>
        <v>0</v>
      </c>
      <c r="E12" s="37" t="str">
        <f t="shared" si="2"/>
        <v>Kürzdörfer, Harry</v>
      </c>
      <c r="F12" s="38" t="str">
        <f t="shared" si="3"/>
        <v>MSC Sophienthal</v>
      </c>
      <c r="G12" s="39" t="str">
        <f t="shared" si="4"/>
        <v>NSU TTS</v>
      </c>
      <c r="H12" s="38">
        <f t="shared" si="5"/>
        <v>0</v>
      </c>
      <c r="I12" s="137">
        <f t="shared" si="6"/>
        <v>0</v>
      </c>
      <c r="J12" s="69">
        <v>0.0007288194444444446</v>
      </c>
      <c r="K12" s="70"/>
      <c r="L12" s="42">
        <f t="shared" si="7"/>
        <v>0</v>
      </c>
      <c r="M12" s="42">
        <f t="shared" si="8"/>
        <v>0.0007288194444444446</v>
      </c>
      <c r="N12" s="89">
        <f t="shared" si="9"/>
        <v>0.0007288194444444446</v>
      </c>
      <c r="O12" s="73">
        <v>0.0007174768518518518</v>
      </c>
      <c r="P12" s="74"/>
      <c r="Q12" s="42">
        <f t="shared" si="10"/>
        <v>0</v>
      </c>
      <c r="R12" s="42">
        <f t="shared" si="11"/>
        <v>0.0007174768518518518</v>
      </c>
      <c r="S12" s="85">
        <f t="shared" si="12"/>
        <v>0.0007174768518518518</v>
      </c>
      <c r="T12" s="82">
        <f t="shared" si="13"/>
        <v>0.0007174768518518518</v>
      </c>
      <c r="U12" s="86">
        <f t="shared" si="14"/>
        <v>0.0007174768518518518</v>
      </c>
      <c r="V12" s="84">
        <f t="shared" si="15"/>
        <v>8.454545454545455</v>
      </c>
      <c r="W12" s="139">
        <f t="shared" si="16"/>
        <v>8.454545454545455</v>
      </c>
      <c r="X12" s="1"/>
    </row>
    <row r="13" spans="1:24" s="33" customFormat="1" ht="15" customHeight="1">
      <c r="A13" s="45">
        <f t="shared" si="17"/>
        <v>9</v>
      </c>
      <c r="B13" s="40" t="str">
        <f t="shared" si="0"/>
        <v>E</v>
      </c>
      <c r="C13" s="57">
        <v>350</v>
      </c>
      <c r="D13" s="36">
        <f t="shared" si="1"/>
        <v>15377</v>
      </c>
      <c r="E13" s="37" t="str">
        <f t="shared" si="2"/>
        <v>Stangneth, Heinz</v>
      </c>
      <c r="F13" s="38" t="str">
        <f t="shared" si="3"/>
        <v>SFK Hansenried</v>
      </c>
      <c r="G13" s="39" t="str">
        <f t="shared" si="4"/>
        <v>NSU TT</v>
      </c>
      <c r="H13" s="38">
        <f t="shared" si="5"/>
        <v>0</v>
      </c>
      <c r="I13" s="137">
        <f t="shared" si="6"/>
        <v>0</v>
      </c>
      <c r="J13" s="69">
        <v>0.0007811342592592593</v>
      </c>
      <c r="K13" s="70"/>
      <c r="L13" s="42">
        <f t="shared" si="7"/>
        <v>0</v>
      </c>
      <c r="M13" s="42">
        <f t="shared" si="8"/>
        <v>0.0007811342592592593</v>
      </c>
      <c r="N13" s="89">
        <f t="shared" si="9"/>
        <v>0.0007811342592592593</v>
      </c>
      <c r="O13" s="73">
        <v>0.0007856481481481482</v>
      </c>
      <c r="P13" s="74">
        <v>15</v>
      </c>
      <c r="Q13" s="42">
        <f t="shared" si="10"/>
        <v>0.000173625</v>
      </c>
      <c r="R13" s="42">
        <f t="shared" si="11"/>
        <v>0.0009592731481481481</v>
      </c>
      <c r="S13" s="85">
        <f t="shared" si="12"/>
        <v>0.0009592731481481481</v>
      </c>
      <c r="T13" s="82">
        <f t="shared" si="13"/>
        <v>0.0007811342592592593</v>
      </c>
      <c r="U13" s="86">
        <f t="shared" si="14"/>
        <v>0.0007811342592592593</v>
      </c>
      <c r="V13" s="84">
        <f t="shared" si="15"/>
        <v>6.636363636363637</v>
      </c>
      <c r="W13" s="139">
        <f t="shared" si="16"/>
        <v>6.636363636363637</v>
      </c>
      <c r="X13" s="1"/>
    </row>
    <row r="14" spans="1:24" s="33" customFormat="1" ht="15" customHeight="1">
      <c r="A14" s="45">
        <f t="shared" si="17"/>
        <v>10</v>
      </c>
      <c r="B14" s="40" t="str">
        <f t="shared" si="0"/>
        <v>E</v>
      </c>
      <c r="C14" s="57">
        <v>461</v>
      </c>
      <c r="D14" s="36">
        <f t="shared" si="1"/>
        <v>12775</v>
      </c>
      <c r="E14" s="37" t="str">
        <f t="shared" si="2"/>
        <v>Kratzer, Stefan</v>
      </c>
      <c r="F14" s="38" t="str">
        <f t="shared" si="3"/>
        <v>SFK Hansenried</v>
      </c>
      <c r="G14" s="39" t="str">
        <f t="shared" si="4"/>
        <v>VW Polo</v>
      </c>
      <c r="H14" s="38">
        <f t="shared" si="5"/>
        <v>0</v>
      </c>
      <c r="I14" s="137">
        <f t="shared" si="6"/>
        <v>0</v>
      </c>
      <c r="J14" s="141">
        <v>0.0007258101851851851</v>
      </c>
      <c r="K14" s="70" t="s">
        <v>47</v>
      </c>
      <c r="L14" s="42">
        <f t="shared" si="7"/>
        <v>5.7875E-05</v>
      </c>
      <c r="M14" s="42">
        <f t="shared" si="8"/>
        <v>0.0007836851851851851</v>
      </c>
      <c r="N14" s="89">
        <f t="shared" si="9"/>
        <v>0.0007836851851851851</v>
      </c>
      <c r="O14" s="73">
        <v>0.0007357638888888888</v>
      </c>
      <c r="P14" s="74">
        <v>20</v>
      </c>
      <c r="Q14" s="42">
        <f t="shared" si="10"/>
        <v>0.0002315</v>
      </c>
      <c r="R14" s="42">
        <f t="shared" si="11"/>
        <v>0.0009672638888888888</v>
      </c>
      <c r="S14" s="85">
        <f t="shared" si="12"/>
        <v>0.0009672638888888888</v>
      </c>
      <c r="T14" s="82">
        <f t="shared" si="13"/>
        <v>0.0007836851851851851</v>
      </c>
      <c r="U14" s="86">
        <f t="shared" si="14"/>
        <v>0.0007836851851851851</v>
      </c>
      <c r="V14" s="84">
        <f t="shared" si="15"/>
        <v>4.818181818181817</v>
      </c>
      <c r="W14" s="139">
        <f t="shared" si="16"/>
        <v>4.818181818181817</v>
      </c>
      <c r="X14" s="1"/>
    </row>
    <row r="15" spans="1:24" s="33" customFormat="1" ht="15" customHeight="1">
      <c r="A15" s="45">
        <f t="shared" si="17"/>
        <v>11</v>
      </c>
      <c r="B15" s="40" t="str">
        <f t="shared" si="0"/>
        <v>E</v>
      </c>
      <c r="C15" s="57">
        <v>518</v>
      </c>
      <c r="D15" s="36">
        <f t="shared" si="1"/>
        <v>0</v>
      </c>
      <c r="E15" s="37" t="str">
        <f t="shared" si="2"/>
        <v>Raßhofer, Christian </v>
      </c>
      <c r="F15" s="38" t="str">
        <f t="shared" si="3"/>
        <v>MSC Kitzbühel</v>
      </c>
      <c r="G15" s="39" t="str">
        <f t="shared" si="4"/>
        <v>VW Polo 86 C</v>
      </c>
      <c r="H15" s="38">
        <f t="shared" si="5"/>
        <v>0</v>
      </c>
      <c r="I15" s="137">
        <f t="shared" si="6"/>
        <v>0</v>
      </c>
      <c r="J15" s="69">
        <v>0.0008252314814814816</v>
      </c>
      <c r="K15" s="70"/>
      <c r="L15" s="42">
        <f t="shared" si="7"/>
        <v>0</v>
      </c>
      <c r="M15" s="42">
        <f t="shared" si="8"/>
        <v>0.0008252314814814816</v>
      </c>
      <c r="N15" s="89">
        <f t="shared" si="9"/>
        <v>0.0008252314814814816</v>
      </c>
      <c r="O15" s="73">
        <v>0.0008344907407407407</v>
      </c>
      <c r="P15" s="74"/>
      <c r="Q15" s="42">
        <f t="shared" si="10"/>
        <v>0</v>
      </c>
      <c r="R15" s="42">
        <f t="shared" si="11"/>
        <v>0.0008344907407407407</v>
      </c>
      <c r="S15" s="85">
        <f t="shared" si="12"/>
        <v>0.0008344907407407407</v>
      </c>
      <c r="T15" s="82">
        <f t="shared" si="13"/>
        <v>0.0008252314814814816</v>
      </c>
      <c r="U15" s="86">
        <f t="shared" si="14"/>
        <v>0.0008252314814814816</v>
      </c>
      <c r="V15" s="84">
        <f t="shared" si="15"/>
        <v>3</v>
      </c>
      <c r="W15" s="139">
        <f t="shared" si="16"/>
        <v>3</v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52</v>
      </c>
      <c r="B2" s="50"/>
      <c r="C2" s="60"/>
      <c r="D2" s="50">
        <f>MAX(A5:A34)</f>
        <v>10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IF(ISBLANK(C5),"",IF(A5&lt;=Gold_10,Goldplakette,IF(A5&lt;=Silber_10,Silberplakette,IF(A5&lt;=Bronze_10,Bronzeplakette,Erinnerung))))</f>
        <v>G</v>
      </c>
      <c r="C5" s="56">
        <v>394</v>
      </c>
      <c r="D5" s="36">
        <f aca="true" t="shared" si="1" ref="D5:D34">IF(ISBLANK(C5),"",VLOOKUP(C5,Starter_Feld,2,FALSE))</f>
        <v>15922</v>
      </c>
      <c r="E5" s="37" t="str">
        <f aca="true" t="shared" si="2" ref="E5:E34">IF(ISBLANK(C5),"",VLOOKUP(C5,Starter_Feld,3,FALSE))</f>
        <v>Koob, Sven</v>
      </c>
      <c r="F5" s="38" t="str">
        <f aca="true" t="shared" si="3" ref="F5:F34">IF(ISBLANK(C5),"",VLOOKUP(C5,Starter_Feld,4,FALSE))</f>
        <v>IMS Schlierbachtal</v>
      </c>
      <c r="G5" s="39" t="str">
        <f aca="true" t="shared" si="4" ref="G5:G34">IF(ISBLANK(C5),"",VLOOKUP(C5,Starter_Feld,5,FALSE))</f>
        <v>Fiat Uno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163">
        <v>0.000635300925925926</v>
      </c>
      <c r="K5" s="68"/>
      <c r="L5" s="41">
        <f aca="true" t="shared" si="7" ref="L5:L34">SUM(0.000011575*K5)</f>
        <v>0</v>
      </c>
      <c r="M5" s="41">
        <f aca="true" t="shared" si="8" ref="M5:M34">SUM(J5,L5)</f>
        <v>0.000635300925925926</v>
      </c>
      <c r="N5" s="88">
        <f aca="true" t="shared" si="9" ref="N5:N34">IF(J5&lt;&gt;0,M5,"")</f>
        <v>0.000635300925925926</v>
      </c>
      <c r="O5" s="71">
        <v>0.0006318287037037038</v>
      </c>
      <c r="P5" s="72">
        <v>15</v>
      </c>
      <c r="Q5" s="41">
        <f aca="true" t="shared" si="10" ref="Q5:Q34">SUM(0.000011575*P5)</f>
        <v>0.000173625</v>
      </c>
      <c r="R5" s="41">
        <f aca="true" t="shared" si="11" ref="R5:R34">SUM(O5,Q5)</f>
        <v>0.0008054537037037038</v>
      </c>
      <c r="S5" s="81">
        <f aca="true" t="shared" si="12" ref="S5:S34">IF(O5&lt;&gt;0,R5,"")</f>
        <v>0.0008054537037037038</v>
      </c>
      <c r="T5" s="82">
        <f aca="true" t="shared" si="13" ref="T5:T34">MIN(N5,S5)</f>
        <v>0.000635300925925926</v>
      </c>
      <c r="U5" s="83">
        <f aca="true" t="shared" si="14" ref="U5:U34">IF(O5=0,"",T5)</f>
        <v>0.000635300925925926</v>
      </c>
      <c r="V5" s="84">
        <f aca="true" t="shared" si="15" ref="V5:V34">23-(20*(A5))/D$2</f>
        <v>21</v>
      </c>
      <c r="W5" s="138">
        <f aca="true" t="shared" si="16" ref="W5:W34">IF(O5=0,"",V5)</f>
        <v>21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G</v>
      </c>
      <c r="C6" s="57">
        <v>328</v>
      </c>
      <c r="D6" s="36">
        <f t="shared" si="1"/>
        <v>11921</v>
      </c>
      <c r="E6" s="37" t="str">
        <f t="shared" si="2"/>
        <v>Thiel, Karl-Heinz</v>
      </c>
      <c r="F6" s="38" t="str">
        <f t="shared" si="3"/>
        <v>NAC Nittenau</v>
      </c>
      <c r="G6" s="39" t="str">
        <f t="shared" si="4"/>
        <v>Ford Escort</v>
      </c>
      <c r="H6" s="38">
        <f t="shared" si="5"/>
        <v>0</v>
      </c>
      <c r="I6" s="137">
        <f t="shared" si="6"/>
        <v>0</v>
      </c>
      <c r="J6" s="69">
        <v>0.0006469907407407407</v>
      </c>
      <c r="K6" s="70"/>
      <c r="L6" s="42">
        <f t="shared" si="7"/>
        <v>0</v>
      </c>
      <c r="M6" s="42">
        <f t="shared" si="8"/>
        <v>0.0006469907407407407</v>
      </c>
      <c r="N6" s="89">
        <f t="shared" si="9"/>
        <v>0.0006469907407407407</v>
      </c>
      <c r="O6" s="73">
        <v>0.0006493055555555556</v>
      </c>
      <c r="P6" s="74">
        <v>5</v>
      </c>
      <c r="Q6" s="42">
        <f t="shared" si="10"/>
        <v>5.7875E-05</v>
      </c>
      <c r="R6" s="42">
        <f t="shared" si="11"/>
        <v>0.0007071805555555556</v>
      </c>
      <c r="S6" s="85">
        <f t="shared" si="12"/>
        <v>0.0007071805555555556</v>
      </c>
      <c r="T6" s="82">
        <f t="shared" si="13"/>
        <v>0.0006469907407407407</v>
      </c>
      <c r="U6" s="86">
        <f t="shared" si="14"/>
        <v>0.0006469907407407407</v>
      </c>
      <c r="V6" s="84">
        <f t="shared" si="15"/>
        <v>19</v>
      </c>
      <c r="W6" s="139">
        <f t="shared" si="16"/>
        <v>19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S</v>
      </c>
      <c r="C7" s="57">
        <v>126</v>
      </c>
      <c r="D7" s="36">
        <f t="shared" si="1"/>
        <v>20186</v>
      </c>
      <c r="E7" s="37" t="str">
        <f t="shared" si="2"/>
        <v>Scheiderer, Günter</v>
      </c>
      <c r="F7" s="38" t="str">
        <f t="shared" si="3"/>
        <v>SFK Hansenried</v>
      </c>
      <c r="G7" s="39" t="str">
        <f t="shared" si="4"/>
        <v>VW Schneider Polo 16V</v>
      </c>
      <c r="H7" s="38">
        <f t="shared" si="5"/>
        <v>0</v>
      </c>
      <c r="I7" s="137">
        <f t="shared" si="6"/>
        <v>0</v>
      </c>
      <c r="J7" s="69">
        <v>0.0006641203703703704</v>
      </c>
      <c r="K7" s="70" t="s">
        <v>274</v>
      </c>
      <c r="L7" s="42">
        <f t="shared" si="7"/>
        <v>0.000173625</v>
      </c>
      <c r="M7" s="42">
        <f t="shared" si="8"/>
        <v>0.0008377453703703704</v>
      </c>
      <c r="N7" s="89">
        <f t="shared" si="9"/>
        <v>0.0008377453703703704</v>
      </c>
      <c r="O7" s="73">
        <v>0.0006657407407407407</v>
      </c>
      <c r="P7" s="74"/>
      <c r="Q7" s="42">
        <f t="shared" si="10"/>
        <v>0</v>
      </c>
      <c r="R7" s="42">
        <f t="shared" si="11"/>
        <v>0.0006657407407407407</v>
      </c>
      <c r="S7" s="85">
        <f t="shared" si="12"/>
        <v>0.0006657407407407407</v>
      </c>
      <c r="T7" s="82">
        <f t="shared" si="13"/>
        <v>0.0006657407407407407</v>
      </c>
      <c r="U7" s="86">
        <f t="shared" si="14"/>
        <v>0.0006657407407407407</v>
      </c>
      <c r="V7" s="84">
        <f t="shared" si="15"/>
        <v>17</v>
      </c>
      <c r="W7" s="139">
        <f t="shared" si="16"/>
        <v>17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S</v>
      </c>
      <c r="C8" s="57">
        <v>168</v>
      </c>
      <c r="D8" s="36">
        <f t="shared" si="1"/>
        <v>15291</v>
      </c>
      <c r="E8" s="37" t="str">
        <f t="shared" si="2"/>
        <v>Küpper, Tobias</v>
      </c>
      <c r="F8" s="38" t="str">
        <f t="shared" si="3"/>
        <v>Chaosteam Motorsport</v>
      </c>
      <c r="G8" s="39" t="str">
        <f t="shared" si="4"/>
        <v>VW Golf 1</v>
      </c>
      <c r="H8" s="38">
        <f t="shared" si="5"/>
        <v>0</v>
      </c>
      <c r="I8" s="137">
        <f t="shared" si="6"/>
        <v>0</v>
      </c>
      <c r="J8" s="69">
        <v>0.0006995370370370371</v>
      </c>
      <c r="K8" s="70" t="s">
        <v>47</v>
      </c>
      <c r="L8" s="42">
        <f t="shared" si="7"/>
        <v>5.7875E-05</v>
      </c>
      <c r="M8" s="42">
        <f t="shared" si="8"/>
        <v>0.0007574120370370371</v>
      </c>
      <c r="N8" s="89">
        <f t="shared" si="9"/>
        <v>0.0007574120370370371</v>
      </c>
      <c r="O8" s="73">
        <v>0.0006805555555555554</v>
      </c>
      <c r="P8" s="74"/>
      <c r="Q8" s="42">
        <f t="shared" si="10"/>
        <v>0</v>
      </c>
      <c r="R8" s="42">
        <f t="shared" si="11"/>
        <v>0.0006805555555555554</v>
      </c>
      <c r="S8" s="85">
        <f t="shared" si="12"/>
        <v>0.0006805555555555554</v>
      </c>
      <c r="T8" s="82">
        <f t="shared" si="13"/>
        <v>0.0006805555555555554</v>
      </c>
      <c r="U8" s="86">
        <f t="shared" si="14"/>
        <v>0.0006805555555555554</v>
      </c>
      <c r="V8" s="84">
        <f t="shared" si="15"/>
        <v>15</v>
      </c>
      <c r="W8" s="139">
        <f t="shared" si="16"/>
        <v>15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S</v>
      </c>
      <c r="C9" s="57">
        <v>32</v>
      </c>
      <c r="D9" s="36">
        <f t="shared" si="1"/>
        <v>0</v>
      </c>
      <c r="E9" s="37" t="str">
        <f t="shared" si="2"/>
        <v>Ritter, Steffen</v>
      </c>
      <c r="F9" s="38" t="str">
        <f t="shared" si="3"/>
        <v>MSC Aalen</v>
      </c>
      <c r="G9" s="39" t="str">
        <f t="shared" si="4"/>
        <v>Opel Corsa A GSI</v>
      </c>
      <c r="H9" s="38">
        <f t="shared" si="5"/>
        <v>0</v>
      </c>
      <c r="I9" s="137">
        <f t="shared" si="6"/>
        <v>0</v>
      </c>
      <c r="J9" s="69">
        <v>0.000696875</v>
      </c>
      <c r="K9" s="70"/>
      <c r="L9" s="42">
        <f t="shared" si="7"/>
        <v>0</v>
      </c>
      <c r="M9" s="42">
        <f t="shared" si="8"/>
        <v>0.000696875</v>
      </c>
      <c r="N9" s="89">
        <f t="shared" si="9"/>
        <v>0.000696875</v>
      </c>
      <c r="O9" s="73">
        <v>0.0007060185185185185</v>
      </c>
      <c r="P9" s="74">
        <v>5</v>
      </c>
      <c r="Q9" s="42">
        <f t="shared" si="10"/>
        <v>5.7875E-05</v>
      </c>
      <c r="R9" s="42">
        <f t="shared" si="11"/>
        <v>0.0007638935185185185</v>
      </c>
      <c r="S9" s="85">
        <f t="shared" si="12"/>
        <v>0.0007638935185185185</v>
      </c>
      <c r="T9" s="82">
        <f t="shared" si="13"/>
        <v>0.000696875</v>
      </c>
      <c r="U9" s="86">
        <f t="shared" si="14"/>
        <v>0.000696875</v>
      </c>
      <c r="V9" s="84">
        <f t="shared" si="15"/>
        <v>13</v>
      </c>
      <c r="W9" s="139">
        <f t="shared" si="16"/>
        <v>13</v>
      </c>
      <c r="X9" s="1"/>
    </row>
    <row r="10" spans="1:24" s="33" customFormat="1" ht="15" customHeight="1">
      <c r="A10" s="45">
        <f t="shared" si="17"/>
        <v>6</v>
      </c>
      <c r="B10" s="40" t="str">
        <f t="shared" si="0"/>
        <v>B</v>
      </c>
      <c r="C10" s="57">
        <v>81</v>
      </c>
      <c r="D10" s="36">
        <f t="shared" si="1"/>
        <v>15242</v>
      </c>
      <c r="E10" s="37" t="str">
        <f t="shared" si="2"/>
        <v>Rausch, Ralf</v>
      </c>
      <c r="F10" s="38" t="str">
        <f t="shared" si="3"/>
        <v>MSC Jura</v>
      </c>
      <c r="G10" s="39" t="str">
        <f t="shared" si="4"/>
        <v>Ford Fiesta </v>
      </c>
      <c r="H10" s="38">
        <f t="shared" si="5"/>
        <v>0</v>
      </c>
      <c r="I10" s="137">
        <f t="shared" si="6"/>
        <v>0</v>
      </c>
      <c r="J10" s="69">
        <v>0.0006971064814814816</v>
      </c>
      <c r="K10" s="70" t="s">
        <v>274</v>
      </c>
      <c r="L10" s="42">
        <f t="shared" si="7"/>
        <v>0.000173625</v>
      </c>
      <c r="M10" s="42">
        <f t="shared" si="8"/>
        <v>0.0008707314814814817</v>
      </c>
      <c r="N10" s="89">
        <f t="shared" si="9"/>
        <v>0.0008707314814814817</v>
      </c>
      <c r="O10" s="73">
        <v>0.0007189814814814816</v>
      </c>
      <c r="P10" s="74"/>
      <c r="Q10" s="42">
        <f t="shared" si="10"/>
        <v>0</v>
      </c>
      <c r="R10" s="42">
        <f t="shared" si="11"/>
        <v>0.0007189814814814816</v>
      </c>
      <c r="S10" s="85">
        <f t="shared" si="12"/>
        <v>0.0007189814814814816</v>
      </c>
      <c r="T10" s="82">
        <f t="shared" si="13"/>
        <v>0.0007189814814814816</v>
      </c>
      <c r="U10" s="86">
        <f t="shared" si="14"/>
        <v>0.0007189814814814816</v>
      </c>
      <c r="V10" s="84">
        <f t="shared" si="15"/>
        <v>11</v>
      </c>
      <c r="W10" s="139">
        <f t="shared" si="16"/>
        <v>11</v>
      </c>
      <c r="X10" s="1"/>
    </row>
    <row r="11" spans="1:24" s="33" customFormat="1" ht="15" customHeight="1">
      <c r="A11" s="45">
        <f t="shared" si="17"/>
        <v>7</v>
      </c>
      <c r="B11" s="40" t="str">
        <f t="shared" si="0"/>
        <v>B</v>
      </c>
      <c r="C11" s="57">
        <v>555</v>
      </c>
      <c r="D11" s="36">
        <f t="shared" si="1"/>
        <v>13446</v>
      </c>
      <c r="E11" s="37" t="str">
        <f t="shared" si="2"/>
        <v>Suhr, Ronnie</v>
      </c>
      <c r="F11" s="38" t="str">
        <f t="shared" si="3"/>
        <v>RG Saar Pfalz</v>
      </c>
      <c r="G11" s="39" t="str">
        <f t="shared" si="4"/>
        <v>VW Golf GTI</v>
      </c>
      <c r="H11" s="38">
        <f t="shared" si="5"/>
        <v>0</v>
      </c>
      <c r="I11" s="137">
        <f t="shared" si="6"/>
        <v>0</v>
      </c>
      <c r="J11" s="69">
        <v>0.0007238425925925927</v>
      </c>
      <c r="K11" s="70"/>
      <c r="L11" s="42">
        <f t="shared" si="7"/>
        <v>0</v>
      </c>
      <c r="M11" s="42">
        <f t="shared" si="8"/>
        <v>0.0007238425925925927</v>
      </c>
      <c r="N11" s="89">
        <f t="shared" si="9"/>
        <v>0.0007238425925925927</v>
      </c>
      <c r="O11" s="73">
        <v>0.0007052083333333334</v>
      </c>
      <c r="P11" s="74">
        <v>5</v>
      </c>
      <c r="Q11" s="42">
        <f t="shared" si="10"/>
        <v>5.7875E-05</v>
      </c>
      <c r="R11" s="42">
        <f t="shared" si="11"/>
        <v>0.0007630833333333334</v>
      </c>
      <c r="S11" s="85">
        <f t="shared" si="12"/>
        <v>0.0007630833333333334</v>
      </c>
      <c r="T11" s="82">
        <f t="shared" si="13"/>
        <v>0.0007238425925925927</v>
      </c>
      <c r="U11" s="86">
        <f t="shared" si="14"/>
        <v>0.0007238425925925927</v>
      </c>
      <c r="V11" s="84">
        <f t="shared" si="15"/>
        <v>9</v>
      </c>
      <c r="W11" s="139">
        <f t="shared" si="16"/>
        <v>9</v>
      </c>
      <c r="X11" s="1"/>
    </row>
    <row r="12" spans="1:24" s="33" customFormat="1" ht="15" customHeight="1">
      <c r="A12" s="45">
        <f t="shared" si="17"/>
        <v>8</v>
      </c>
      <c r="B12" s="40" t="str">
        <f t="shared" si="0"/>
        <v>B</v>
      </c>
      <c r="C12" s="57">
        <v>26</v>
      </c>
      <c r="D12" s="36">
        <f t="shared" si="1"/>
        <v>15530</v>
      </c>
      <c r="E12" s="37" t="str">
        <f t="shared" si="2"/>
        <v>Horänder, Stefan</v>
      </c>
      <c r="F12" s="38" t="str">
        <f t="shared" si="3"/>
        <v>SFK Hansenried</v>
      </c>
      <c r="G12" s="39" t="str">
        <f t="shared" si="4"/>
        <v>VW Polo Schneider 16V</v>
      </c>
      <c r="H12" s="38">
        <f t="shared" si="5"/>
        <v>0</v>
      </c>
      <c r="I12" s="137">
        <f t="shared" si="6"/>
        <v>0</v>
      </c>
      <c r="J12" s="69">
        <v>0.0006755787037037037</v>
      </c>
      <c r="K12" s="70" t="s">
        <v>47</v>
      </c>
      <c r="L12" s="42">
        <f t="shared" si="7"/>
        <v>5.7875E-05</v>
      </c>
      <c r="M12" s="42">
        <f t="shared" si="8"/>
        <v>0.0007334537037037037</v>
      </c>
      <c r="N12" s="89">
        <f t="shared" si="9"/>
        <v>0.0007334537037037037</v>
      </c>
      <c r="O12" s="73">
        <v>0.0006741898148148149</v>
      </c>
      <c r="P12" s="74">
        <v>5</v>
      </c>
      <c r="Q12" s="42">
        <f t="shared" si="10"/>
        <v>5.7875E-05</v>
      </c>
      <c r="R12" s="42">
        <f t="shared" si="11"/>
        <v>0.0007320648148148148</v>
      </c>
      <c r="S12" s="85">
        <f t="shared" si="12"/>
        <v>0.0007320648148148148</v>
      </c>
      <c r="T12" s="82">
        <f t="shared" si="13"/>
        <v>0.0007320648148148148</v>
      </c>
      <c r="U12" s="86">
        <f t="shared" si="14"/>
        <v>0.0007320648148148148</v>
      </c>
      <c r="V12" s="84">
        <f t="shared" si="15"/>
        <v>7</v>
      </c>
      <c r="W12" s="139">
        <f t="shared" si="16"/>
        <v>7</v>
      </c>
      <c r="X12" s="1"/>
    </row>
    <row r="13" spans="1:24" s="33" customFormat="1" ht="15" customHeight="1">
      <c r="A13" s="45">
        <f t="shared" si="17"/>
        <v>9</v>
      </c>
      <c r="B13" s="40" t="str">
        <f t="shared" si="0"/>
        <v>E</v>
      </c>
      <c r="C13" s="57">
        <v>811</v>
      </c>
      <c r="D13" s="36">
        <f t="shared" si="1"/>
        <v>15499</v>
      </c>
      <c r="E13" s="37" t="str">
        <f t="shared" si="2"/>
        <v>Schmid, Barbara</v>
      </c>
      <c r="F13" s="38" t="str">
        <f t="shared" si="3"/>
        <v>MSC Jura</v>
      </c>
      <c r="G13" s="39" t="str">
        <f t="shared" si="4"/>
        <v>Ford Fiesta</v>
      </c>
      <c r="H13" s="38">
        <f t="shared" si="5"/>
        <v>0</v>
      </c>
      <c r="I13" s="137">
        <f t="shared" si="6"/>
        <v>1</v>
      </c>
      <c r="J13" s="69">
        <v>0.0007618055555555555</v>
      </c>
      <c r="K13" s="70"/>
      <c r="L13" s="42">
        <f t="shared" si="7"/>
        <v>0</v>
      </c>
      <c r="M13" s="42">
        <f t="shared" si="8"/>
        <v>0.0007618055555555555</v>
      </c>
      <c r="N13" s="89">
        <f t="shared" si="9"/>
        <v>0.0007618055555555555</v>
      </c>
      <c r="O13" s="73">
        <v>0.000755787037037037</v>
      </c>
      <c r="P13" s="74"/>
      <c r="Q13" s="42">
        <f t="shared" si="10"/>
        <v>0</v>
      </c>
      <c r="R13" s="42">
        <f t="shared" si="11"/>
        <v>0.000755787037037037</v>
      </c>
      <c r="S13" s="85">
        <f t="shared" si="12"/>
        <v>0.000755787037037037</v>
      </c>
      <c r="T13" s="82">
        <f t="shared" si="13"/>
        <v>0.000755787037037037</v>
      </c>
      <c r="U13" s="86">
        <f t="shared" si="14"/>
        <v>0.000755787037037037</v>
      </c>
      <c r="V13" s="84">
        <f t="shared" si="15"/>
        <v>5</v>
      </c>
      <c r="W13" s="139">
        <f t="shared" si="16"/>
        <v>5</v>
      </c>
      <c r="X13" s="1"/>
    </row>
    <row r="14" spans="1:24" s="33" customFormat="1" ht="15" customHeight="1">
      <c r="A14" s="45">
        <f t="shared" si="17"/>
        <v>10</v>
      </c>
      <c r="B14" s="40" t="str">
        <f t="shared" si="0"/>
        <v>E</v>
      </c>
      <c r="C14" s="57">
        <v>333</v>
      </c>
      <c r="D14" s="36">
        <f t="shared" si="1"/>
        <v>0</v>
      </c>
      <c r="E14" s="37" t="str">
        <f t="shared" si="2"/>
        <v>Langwieser, Dietmar</v>
      </c>
      <c r="F14" s="38" t="str">
        <f t="shared" si="3"/>
        <v>Bavarian Drag Race Club</v>
      </c>
      <c r="G14" s="39" t="str">
        <f t="shared" si="4"/>
        <v>BMW 1602</v>
      </c>
      <c r="H14" s="38">
        <f t="shared" si="5"/>
        <v>0</v>
      </c>
      <c r="I14" s="137">
        <f t="shared" si="6"/>
        <v>0</v>
      </c>
      <c r="J14" s="69">
        <v>0.0006967592592592594</v>
      </c>
      <c r="K14" s="70" t="s">
        <v>256</v>
      </c>
      <c r="L14" s="42">
        <f t="shared" si="7"/>
        <v>0.00011575</v>
      </c>
      <c r="M14" s="42">
        <f t="shared" si="8"/>
        <v>0.0008125092592592593</v>
      </c>
      <c r="N14" s="89">
        <f t="shared" si="9"/>
        <v>0.0008125092592592593</v>
      </c>
      <c r="O14" s="73">
        <v>0.000690162037037037</v>
      </c>
      <c r="P14" s="74">
        <v>15</v>
      </c>
      <c r="Q14" s="42">
        <f t="shared" si="10"/>
        <v>0.000173625</v>
      </c>
      <c r="R14" s="42">
        <f t="shared" si="11"/>
        <v>0.000863787037037037</v>
      </c>
      <c r="S14" s="85">
        <f t="shared" si="12"/>
        <v>0.000863787037037037</v>
      </c>
      <c r="T14" s="82">
        <f t="shared" si="13"/>
        <v>0.0008125092592592593</v>
      </c>
      <c r="U14" s="86">
        <f t="shared" si="14"/>
        <v>0.0008125092592592593</v>
      </c>
      <c r="V14" s="84">
        <f t="shared" si="15"/>
        <v>3</v>
      </c>
      <c r="W14" s="139">
        <f t="shared" si="16"/>
        <v>3</v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4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53</v>
      </c>
      <c r="B2" s="50"/>
      <c r="C2" s="60"/>
      <c r="D2" s="50">
        <f>MAX(A5:A34)</f>
        <v>11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IF(ISBLANK(C5),"",IF(A5&lt;=Gold_11,Goldplakette,IF(A5&lt;=Silber_11,Silberplakette,IF(A5&lt;=Bronze_11,Bronzeplakette,Erinnerung))))</f>
        <v>G</v>
      </c>
      <c r="C5" s="56">
        <v>484</v>
      </c>
      <c r="D5" s="36">
        <f aca="true" t="shared" si="1" ref="D5:D34">IF(ISBLANK(C5),"",VLOOKUP(C5,Starter_Feld,2,FALSE))</f>
        <v>14234</v>
      </c>
      <c r="E5" s="37" t="str">
        <f aca="true" t="shared" si="2" ref="E5:E34">IF(ISBLANK(C5),"",VLOOKUP(C5,Starter_Feld,3,FALSE))</f>
        <v>Höppe, Andreas</v>
      </c>
      <c r="F5" s="38" t="str">
        <f aca="true" t="shared" si="3" ref="F5:F34">IF(ISBLANK(C5),"",VLOOKUP(C5,Starter_Feld,4,FALSE))</f>
        <v>RST Mittelfranken</v>
      </c>
      <c r="G5" s="39" t="str">
        <f aca="true" t="shared" si="4" ref="G5:G34">IF(ISBLANK(C5),"",VLOOKUP(C5,Starter_Feld,5,FALSE))</f>
        <v>Opel Kadett C Coupé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0.0006592592592592593</v>
      </c>
      <c r="K5" s="68"/>
      <c r="L5" s="41">
        <f aca="true" t="shared" si="7" ref="L5:L34">SUM(0.000011575*K5)</f>
        <v>0</v>
      </c>
      <c r="M5" s="41">
        <f aca="true" t="shared" si="8" ref="M5:M34">SUM(J5,L5)</f>
        <v>0.0006592592592592593</v>
      </c>
      <c r="N5" s="88">
        <f aca="true" t="shared" si="9" ref="N5:N34">IF(J5&lt;&gt;0,M5,"")</f>
        <v>0.0006592592592592593</v>
      </c>
      <c r="O5" s="71">
        <v>0.0006476851851851852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0.0006476851851851852</v>
      </c>
      <c r="S5" s="81">
        <f aca="true" t="shared" si="12" ref="S5:S34">IF(O5&lt;&gt;0,R5,"")</f>
        <v>0.0006476851851851852</v>
      </c>
      <c r="T5" s="82">
        <f aca="true" t="shared" si="13" ref="T5:T34">MIN(N5,S5)</f>
        <v>0.0006476851851851852</v>
      </c>
      <c r="U5" s="83">
        <f aca="true" t="shared" si="14" ref="U5:U34">IF(O5=0,"",T5)</f>
        <v>0.0006476851851851852</v>
      </c>
      <c r="V5" s="84">
        <f aca="true" t="shared" si="15" ref="V5:V34">23-(20*(A5))/D$2</f>
        <v>21.181818181818183</v>
      </c>
      <c r="W5" s="138">
        <f aca="true" t="shared" si="16" ref="W5:W34">IF(O5=0,"",V5)</f>
        <v>21.181818181818183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G</v>
      </c>
      <c r="C6" s="57">
        <v>280</v>
      </c>
      <c r="D6" s="36">
        <f t="shared" si="1"/>
        <v>14847</v>
      </c>
      <c r="E6" s="37" t="str">
        <f t="shared" si="2"/>
        <v>Carotenuto, Michele</v>
      </c>
      <c r="F6" s="38" t="str">
        <f t="shared" si="3"/>
        <v>AMSC</v>
      </c>
      <c r="G6" s="39" t="str">
        <f t="shared" si="4"/>
        <v>Opel Kadett</v>
      </c>
      <c r="H6" s="38">
        <f t="shared" si="5"/>
        <v>0</v>
      </c>
      <c r="I6" s="137">
        <f t="shared" si="6"/>
        <v>0</v>
      </c>
      <c r="J6" s="69">
        <v>0.000666550925925926</v>
      </c>
      <c r="K6" s="70"/>
      <c r="L6" s="42">
        <f t="shared" si="7"/>
        <v>0</v>
      </c>
      <c r="M6" s="42">
        <f t="shared" si="8"/>
        <v>0.000666550925925926</v>
      </c>
      <c r="N6" s="89">
        <f t="shared" si="9"/>
        <v>0.000666550925925926</v>
      </c>
      <c r="O6" s="73">
        <v>0.0006484953703703703</v>
      </c>
      <c r="P6" s="74">
        <v>5</v>
      </c>
      <c r="Q6" s="42">
        <f t="shared" si="10"/>
        <v>5.7875E-05</v>
      </c>
      <c r="R6" s="42">
        <f t="shared" si="11"/>
        <v>0.0007063703703703703</v>
      </c>
      <c r="S6" s="85">
        <f t="shared" si="12"/>
        <v>0.0007063703703703703</v>
      </c>
      <c r="T6" s="82">
        <f t="shared" si="13"/>
        <v>0.000666550925925926</v>
      </c>
      <c r="U6" s="86">
        <f t="shared" si="14"/>
        <v>0.000666550925925926</v>
      </c>
      <c r="V6" s="84">
        <f t="shared" si="15"/>
        <v>19.363636363636363</v>
      </c>
      <c r="W6" s="139">
        <f t="shared" si="16"/>
        <v>19.363636363636363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S</v>
      </c>
      <c r="C7" s="57">
        <v>159</v>
      </c>
      <c r="D7" s="36">
        <f t="shared" si="1"/>
        <v>14498</v>
      </c>
      <c r="E7" s="37" t="str">
        <f t="shared" si="2"/>
        <v>Späth, Michael</v>
      </c>
      <c r="F7" s="38" t="str">
        <f t="shared" si="3"/>
        <v>RST Mittelfranken</v>
      </c>
      <c r="G7" s="39" t="str">
        <f t="shared" si="4"/>
        <v>Opel Kadett C Coupé</v>
      </c>
      <c r="H7" s="38">
        <f t="shared" si="5"/>
        <v>0</v>
      </c>
      <c r="I7" s="137">
        <f t="shared" si="6"/>
        <v>0</v>
      </c>
      <c r="J7" s="69">
        <v>0.0006730324074074073</v>
      </c>
      <c r="K7" s="70"/>
      <c r="L7" s="42">
        <f t="shared" si="7"/>
        <v>0</v>
      </c>
      <c r="M7" s="42">
        <f t="shared" si="8"/>
        <v>0.0006730324074074073</v>
      </c>
      <c r="N7" s="89">
        <f t="shared" si="9"/>
        <v>0.0006730324074074073</v>
      </c>
      <c r="O7" s="73">
        <v>0.0006707175925925927</v>
      </c>
      <c r="P7" s="74">
        <v>5</v>
      </c>
      <c r="Q7" s="42">
        <f t="shared" si="10"/>
        <v>5.7875E-05</v>
      </c>
      <c r="R7" s="42">
        <f t="shared" si="11"/>
        <v>0.0007285925925925926</v>
      </c>
      <c r="S7" s="85">
        <f t="shared" si="12"/>
        <v>0.0007285925925925926</v>
      </c>
      <c r="T7" s="82">
        <f t="shared" si="13"/>
        <v>0.0006730324074074073</v>
      </c>
      <c r="U7" s="86">
        <f t="shared" si="14"/>
        <v>0.0006730324074074073</v>
      </c>
      <c r="V7" s="84">
        <f t="shared" si="15"/>
        <v>17.545454545454547</v>
      </c>
      <c r="W7" s="139">
        <f t="shared" si="16"/>
        <v>17.545454545454547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S</v>
      </c>
      <c r="C8" s="57">
        <v>365</v>
      </c>
      <c r="D8" s="36">
        <f t="shared" si="1"/>
        <v>0</v>
      </c>
      <c r="E8" s="37" t="str">
        <f t="shared" si="2"/>
        <v>Nothdurfter, Manfred</v>
      </c>
      <c r="F8" s="38" t="str">
        <f t="shared" si="3"/>
        <v>MSC Kitzbühel</v>
      </c>
      <c r="G8" s="39" t="str">
        <f t="shared" si="4"/>
        <v>Ford Escort RS 2000</v>
      </c>
      <c r="H8" s="38">
        <f t="shared" si="5"/>
        <v>0</v>
      </c>
      <c r="I8" s="137">
        <f t="shared" si="6"/>
        <v>0</v>
      </c>
      <c r="J8" s="69">
        <v>0.0006753472222222223</v>
      </c>
      <c r="K8" s="70"/>
      <c r="L8" s="42">
        <f t="shared" si="7"/>
        <v>0</v>
      </c>
      <c r="M8" s="42">
        <f t="shared" si="8"/>
        <v>0.0006753472222222223</v>
      </c>
      <c r="N8" s="89">
        <f t="shared" si="9"/>
        <v>0.0006753472222222223</v>
      </c>
      <c r="O8" s="73">
        <v>0.0006600694444444445</v>
      </c>
      <c r="P8" s="74">
        <v>5</v>
      </c>
      <c r="Q8" s="42">
        <f t="shared" si="10"/>
        <v>5.7875E-05</v>
      </c>
      <c r="R8" s="42">
        <f t="shared" si="11"/>
        <v>0.0007179444444444444</v>
      </c>
      <c r="S8" s="85">
        <f t="shared" si="12"/>
        <v>0.0007179444444444444</v>
      </c>
      <c r="T8" s="82">
        <f t="shared" si="13"/>
        <v>0.0006753472222222223</v>
      </c>
      <c r="U8" s="86">
        <f t="shared" si="14"/>
        <v>0.0006753472222222223</v>
      </c>
      <c r="V8" s="84">
        <f t="shared" si="15"/>
        <v>15.727272727272727</v>
      </c>
      <c r="W8" s="139">
        <f t="shared" si="16"/>
        <v>15.727272727272727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S</v>
      </c>
      <c r="C9" s="57">
        <v>12</v>
      </c>
      <c r="D9" s="36">
        <f t="shared" si="1"/>
        <v>20074</v>
      </c>
      <c r="E9" s="37" t="str">
        <f t="shared" si="2"/>
        <v>Enderlein, Johannes</v>
      </c>
      <c r="F9" s="38" t="str">
        <f t="shared" si="3"/>
        <v>MSC Jura</v>
      </c>
      <c r="G9" s="39" t="str">
        <f t="shared" si="4"/>
        <v>Opel Kadett C Coupé</v>
      </c>
      <c r="H9" s="38">
        <f t="shared" si="5"/>
        <v>0</v>
      </c>
      <c r="I9" s="137">
        <f t="shared" si="6"/>
        <v>0</v>
      </c>
      <c r="J9" s="69">
        <v>0.0006769675925925926</v>
      </c>
      <c r="K9" s="70"/>
      <c r="L9" s="42">
        <f t="shared" si="7"/>
        <v>0</v>
      </c>
      <c r="M9" s="42">
        <f t="shared" si="8"/>
        <v>0.0006769675925925926</v>
      </c>
      <c r="N9" s="89">
        <f t="shared" si="9"/>
        <v>0.0006769675925925926</v>
      </c>
      <c r="O9" s="73">
        <v>0.0006790509259259259</v>
      </c>
      <c r="P9" s="74"/>
      <c r="Q9" s="42">
        <f t="shared" si="10"/>
        <v>0</v>
      </c>
      <c r="R9" s="42">
        <f t="shared" si="11"/>
        <v>0.0006790509259259259</v>
      </c>
      <c r="S9" s="85">
        <f t="shared" si="12"/>
        <v>0.0006790509259259259</v>
      </c>
      <c r="T9" s="82">
        <f t="shared" si="13"/>
        <v>0.0006769675925925926</v>
      </c>
      <c r="U9" s="86">
        <f t="shared" si="14"/>
        <v>0.0006769675925925926</v>
      </c>
      <c r="V9" s="84">
        <f t="shared" si="15"/>
        <v>13.909090909090908</v>
      </c>
      <c r="W9" s="139">
        <f t="shared" si="16"/>
        <v>13.909090909090908</v>
      </c>
      <c r="X9" s="1"/>
    </row>
    <row r="10" spans="1:24" s="33" customFormat="1" ht="15" customHeight="1">
      <c r="A10" s="45">
        <f t="shared" si="17"/>
        <v>6</v>
      </c>
      <c r="B10" s="40" t="str">
        <f t="shared" si="0"/>
        <v>B</v>
      </c>
      <c r="C10" s="57">
        <v>576</v>
      </c>
      <c r="D10" s="36">
        <f t="shared" si="1"/>
        <v>0</v>
      </c>
      <c r="E10" s="37" t="str">
        <f t="shared" si="2"/>
        <v>Wiedmann, Günther</v>
      </c>
      <c r="F10" s="38" t="str">
        <f t="shared" si="3"/>
        <v>MSC Frickenhofer Höhe</v>
      </c>
      <c r="G10" s="39" t="str">
        <f t="shared" si="4"/>
        <v>Opel Kadett C</v>
      </c>
      <c r="H10" s="38">
        <f t="shared" si="5"/>
        <v>0</v>
      </c>
      <c r="I10" s="137">
        <f t="shared" si="6"/>
        <v>0</v>
      </c>
      <c r="J10" s="69">
        <v>0.0006854166666666666</v>
      </c>
      <c r="K10" s="70" t="s">
        <v>47</v>
      </c>
      <c r="L10" s="42">
        <f t="shared" si="7"/>
        <v>5.7875E-05</v>
      </c>
      <c r="M10" s="42">
        <f t="shared" si="8"/>
        <v>0.0007432916666666666</v>
      </c>
      <c r="N10" s="89">
        <f t="shared" si="9"/>
        <v>0.0007432916666666666</v>
      </c>
      <c r="O10" s="73">
        <v>0.0006846064814814815</v>
      </c>
      <c r="P10" s="74"/>
      <c r="Q10" s="42">
        <f t="shared" si="10"/>
        <v>0</v>
      </c>
      <c r="R10" s="42">
        <f t="shared" si="11"/>
        <v>0.0006846064814814815</v>
      </c>
      <c r="S10" s="85">
        <f t="shared" si="12"/>
        <v>0.0006846064814814815</v>
      </c>
      <c r="T10" s="82">
        <f t="shared" si="13"/>
        <v>0.0006846064814814815</v>
      </c>
      <c r="U10" s="86">
        <f t="shared" si="14"/>
        <v>0.0006846064814814815</v>
      </c>
      <c r="V10" s="84">
        <f t="shared" si="15"/>
        <v>12.090909090909092</v>
      </c>
      <c r="W10" s="139">
        <f t="shared" si="16"/>
        <v>12.090909090909092</v>
      </c>
      <c r="X10" s="1"/>
    </row>
    <row r="11" spans="1:24" s="33" customFormat="1" ht="15" customHeight="1">
      <c r="A11" s="45">
        <f t="shared" si="17"/>
        <v>7</v>
      </c>
      <c r="B11" s="40" t="str">
        <f t="shared" si="0"/>
        <v>B</v>
      </c>
      <c r="C11" s="57">
        <v>156</v>
      </c>
      <c r="D11" s="36">
        <f t="shared" si="1"/>
        <v>0</v>
      </c>
      <c r="E11" s="37" t="str">
        <f t="shared" si="2"/>
        <v>Huber, Harald</v>
      </c>
      <c r="F11" s="38" t="str">
        <f t="shared" si="3"/>
        <v>NAC Amberg</v>
      </c>
      <c r="G11" s="39" t="str">
        <f t="shared" si="4"/>
        <v>Opel Kadett C Coupé</v>
      </c>
      <c r="H11" s="38">
        <f t="shared" si="5"/>
        <v>0</v>
      </c>
      <c r="I11" s="137">
        <f t="shared" si="6"/>
        <v>0</v>
      </c>
      <c r="J11" s="69">
        <v>0.000708449074074074</v>
      </c>
      <c r="K11" s="70"/>
      <c r="L11" s="42">
        <f t="shared" si="7"/>
        <v>0</v>
      </c>
      <c r="M11" s="42">
        <f t="shared" si="8"/>
        <v>0.000708449074074074</v>
      </c>
      <c r="N11" s="89">
        <f t="shared" si="9"/>
        <v>0.000708449074074074</v>
      </c>
      <c r="O11" s="73">
        <v>0.0006939814814814815</v>
      </c>
      <c r="P11" s="74"/>
      <c r="Q11" s="42">
        <f t="shared" si="10"/>
        <v>0</v>
      </c>
      <c r="R11" s="42">
        <f t="shared" si="11"/>
        <v>0.0006939814814814815</v>
      </c>
      <c r="S11" s="85">
        <f t="shared" si="12"/>
        <v>0.0006939814814814815</v>
      </c>
      <c r="T11" s="82">
        <f t="shared" si="13"/>
        <v>0.0006939814814814815</v>
      </c>
      <c r="U11" s="86">
        <f t="shared" si="14"/>
        <v>0.0006939814814814815</v>
      </c>
      <c r="V11" s="84">
        <f t="shared" si="15"/>
        <v>10.272727272727273</v>
      </c>
      <c r="W11" s="139">
        <f t="shared" si="16"/>
        <v>10.272727272727273</v>
      </c>
      <c r="X11" s="1"/>
    </row>
    <row r="12" spans="1:24" s="33" customFormat="1" ht="15" customHeight="1">
      <c r="A12" s="45">
        <f t="shared" si="17"/>
        <v>8</v>
      </c>
      <c r="B12" s="40" t="str">
        <f t="shared" si="0"/>
        <v>B</v>
      </c>
      <c r="C12" s="57">
        <v>157</v>
      </c>
      <c r="D12" s="36">
        <f t="shared" si="1"/>
        <v>12917</v>
      </c>
      <c r="E12" s="37" t="str">
        <f t="shared" si="2"/>
        <v>Grosch, Oliver</v>
      </c>
      <c r="F12" s="38" t="str">
        <f t="shared" si="3"/>
        <v>NAC Amberg</v>
      </c>
      <c r="G12" s="39" t="str">
        <f t="shared" si="4"/>
        <v>Opel Kadett C Coupé</v>
      </c>
      <c r="H12" s="38">
        <f t="shared" si="5"/>
        <v>0</v>
      </c>
      <c r="I12" s="137">
        <f t="shared" si="6"/>
        <v>0</v>
      </c>
      <c r="J12" s="141">
        <v>0.0007233796296296297</v>
      </c>
      <c r="K12" s="70" t="s">
        <v>256</v>
      </c>
      <c r="L12" s="42">
        <f t="shared" si="7"/>
        <v>0.00011575</v>
      </c>
      <c r="M12" s="42">
        <f t="shared" si="8"/>
        <v>0.0008391296296296297</v>
      </c>
      <c r="N12" s="89">
        <f t="shared" si="9"/>
        <v>0.0008391296296296297</v>
      </c>
      <c r="O12" s="73">
        <v>0.0007072916666666667</v>
      </c>
      <c r="P12" s="74"/>
      <c r="Q12" s="42">
        <f t="shared" si="10"/>
        <v>0</v>
      </c>
      <c r="R12" s="42">
        <f t="shared" si="11"/>
        <v>0.0007072916666666667</v>
      </c>
      <c r="S12" s="85">
        <f t="shared" si="12"/>
        <v>0.0007072916666666667</v>
      </c>
      <c r="T12" s="82">
        <f t="shared" si="13"/>
        <v>0.0007072916666666667</v>
      </c>
      <c r="U12" s="86">
        <f t="shared" si="14"/>
        <v>0.0007072916666666667</v>
      </c>
      <c r="V12" s="84">
        <f t="shared" si="15"/>
        <v>8.454545454545455</v>
      </c>
      <c r="W12" s="139">
        <f t="shared" si="16"/>
        <v>8.454545454545455</v>
      </c>
      <c r="X12" s="1"/>
    </row>
    <row r="13" spans="1:24" s="33" customFormat="1" ht="15" customHeight="1">
      <c r="A13" s="45">
        <f t="shared" si="17"/>
        <v>9</v>
      </c>
      <c r="B13" s="40" t="str">
        <f t="shared" si="0"/>
        <v>E</v>
      </c>
      <c r="C13" s="57">
        <v>320</v>
      </c>
      <c r="D13" s="36">
        <f t="shared" si="1"/>
        <v>15874</v>
      </c>
      <c r="E13" s="37" t="str">
        <f t="shared" si="2"/>
        <v>Schmidt, Carsten</v>
      </c>
      <c r="F13" s="38" t="str">
        <f t="shared" si="3"/>
        <v>MSC Berg</v>
      </c>
      <c r="G13" s="39" t="str">
        <f t="shared" si="4"/>
        <v>BMW E30</v>
      </c>
      <c r="H13" s="38">
        <f t="shared" si="5"/>
        <v>1</v>
      </c>
      <c r="I13" s="137">
        <f t="shared" si="6"/>
        <v>0</v>
      </c>
      <c r="J13" s="69">
        <v>0.0007613425925925926</v>
      </c>
      <c r="K13" s="70"/>
      <c r="L13" s="42">
        <f t="shared" si="7"/>
        <v>0</v>
      </c>
      <c r="M13" s="42">
        <f t="shared" si="8"/>
        <v>0.0007613425925925926</v>
      </c>
      <c r="N13" s="89">
        <f t="shared" si="9"/>
        <v>0.0007613425925925926</v>
      </c>
      <c r="O13" s="73">
        <v>0.0007459490740740741</v>
      </c>
      <c r="P13" s="74"/>
      <c r="Q13" s="42">
        <f t="shared" si="10"/>
        <v>0</v>
      </c>
      <c r="R13" s="42">
        <f t="shared" si="11"/>
        <v>0.0007459490740740741</v>
      </c>
      <c r="S13" s="85">
        <f t="shared" si="12"/>
        <v>0.0007459490740740741</v>
      </c>
      <c r="T13" s="82">
        <f t="shared" si="13"/>
        <v>0.0007459490740740741</v>
      </c>
      <c r="U13" s="86">
        <f t="shared" si="14"/>
        <v>0.0007459490740740741</v>
      </c>
      <c r="V13" s="84">
        <f t="shared" si="15"/>
        <v>6.636363636363637</v>
      </c>
      <c r="W13" s="139">
        <f t="shared" si="16"/>
        <v>6.636363636363637</v>
      </c>
      <c r="X13" s="1"/>
    </row>
    <row r="14" spans="1:24" s="33" customFormat="1" ht="15" customHeight="1">
      <c r="A14" s="45">
        <f t="shared" si="17"/>
        <v>10</v>
      </c>
      <c r="B14" s="40" t="str">
        <f t="shared" si="0"/>
        <v>E</v>
      </c>
      <c r="C14" s="57">
        <v>520</v>
      </c>
      <c r="D14" s="36">
        <f t="shared" si="1"/>
        <v>15211</v>
      </c>
      <c r="E14" s="37" t="str">
        <f t="shared" si="2"/>
        <v>Hentschel, Patrick</v>
      </c>
      <c r="F14" s="38">
        <f t="shared" si="3"/>
        <v>0</v>
      </c>
      <c r="G14" s="39" t="str">
        <f t="shared" si="4"/>
        <v>Renault R5</v>
      </c>
      <c r="H14" s="38">
        <f t="shared" si="5"/>
        <v>0</v>
      </c>
      <c r="I14" s="137">
        <f t="shared" si="6"/>
        <v>0</v>
      </c>
      <c r="J14" s="69">
        <v>0.0007494212962962962</v>
      </c>
      <c r="K14" s="70" t="s">
        <v>47</v>
      </c>
      <c r="L14" s="42">
        <f t="shared" si="7"/>
        <v>5.7875E-05</v>
      </c>
      <c r="M14" s="42">
        <f t="shared" si="8"/>
        <v>0.0008072962962962962</v>
      </c>
      <c r="N14" s="89">
        <f t="shared" si="9"/>
        <v>0.0008072962962962962</v>
      </c>
      <c r="O14" s="73">
        <v>0.0010306712962962962</v>
      </c>
      <c r="P14" s="74">
        <v>10</v>
      </c>
      <c r="Q14" s="42">
        <f t="shared" si="10"/>
        <v>0.00011575</v>
      </c>
      <c r="R14" s="42">
        <f t="shared" si="11"/>
        <v>0.0011464212962962962</v>
      </c>
      <c r="S14" s="85">
        <f t="shared" si="12"/>
        <v>0.0011464212962962962</v>
      </c>
      <c r="T14" s="82">
        <f t="shared" si="13"/>
        <v>0.0008072962962962962</v>
      </c>
      <c r="U14" s="86">
        <f t="shared" si="14"/>
        <v>0.0008072962962962962</v>
      </c>
      <c r="V14" s="84">
        <f t="shared" si="15"/>
        <v>4.818181818181817</v>
      </c>
      <c r="W14" s="139">
        <f t="shared" si="16"/>
        <v>4.818181818181817</v>
      </c>
      <c r="X14" s="1"/>
    </row>
    <row r="15" spans="1:24" s="33" customFormat="1" ht="15" customHeight="1">
      <c r="A15" s="45">
        <f t="shared" si="17"/>
        <v>11</v>
      </c>
      <c r="B15" s="40" t="str">
        <f t="shared" si="0"/>
        <v>E</v>
      </c>
      <c r="C15" s="57">
        <v>407</v>
      </c>
      <c r="D15" s="36">
        <f t="shared" si="1"/>
        <v>0</v>
      </c>
      <c r="E15" s="37" t="str">
        <f t="shared" si="2"/>
        <v>Hoffmann, Christian</v>
      </c>
      <c r="F15" s="38" t="str">
        <f t="shared" si="3"/>
        <v>AC Gunzenhausen</v>
      </c>
      <c r="G15" s="39" t="str">
        <f t="shared" si="4"/>
        <v>VW Polo 86 C G40 Turbo</v>
      </c>
      <c r="H15" s="38">
        <f t="shared" si="5"/>
        <v>0</v>
      </c>
      <c r="I15" s="137">
        <f t="shared" si="6"/>
        <v>0</v>
      </c>
      <c r="J15" s="69">
        <v>0.000753125</v>
      </c>
      <c r="K15" s="70" t="s">
        <v>256</v>
      </c>
      <c r="L15" s="42">
        <f t="shared" si="7"/>
        <v>0.00011575</v>
      </c>
      <c r="M15" s="42">
        <f t="shared" si="8"/>
        <v>0.000868875</v>
      </c>
      <c r="N15" s="89">
        <f t="shared" si="9"/>
        <v>0.000868875</v>
      </c>
      <c r="O15" s="73">
        <v>0.0007715277777777778</v>
      </c>
      <c r="P15" s="74">
        <v>5</v>
      </c>
      <c r="Q15" s="42">
        <f t="shared" si="10"/>
        <v>5.7875E-05</v>
      </c>
      <c r="R15" s="42">
        <f t="shared" si="11"/>
        <v>0.0008294027777777778</v>
      </c>
      <c r="S15" s="85">
        <f t="shared" si="12"/>
        <v>0.0008294027777777778</v>
      </c>
      <c r="T15" s="82">
        <f t="shared" si="13"/>
        <v>0.0008294027777777778</v>
      </c>
      <c r="U15" s="86">
        <f t="shared" si="14"/>
        <v>0.0008294027777777778</v>
      </c>
      <c r="V15" s="84">
        <f t="shared" si="15"/>
        <v>3</v>
      </c>
      <c r="W15" s="139">
        <f t="shared" si="16"/>
        <v>3</v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5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31" sqref="D31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54</v>
      </c>
      <c r="B2" s="50"/>
      <c r="C2" s="60"/>
      <c r="D2" s="50">
        <f>MAX(A5:A34)</f>
        <v>0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</c>
      <c r="B5" s="35">
        <f aca="true" t="shared" si="0" ref="B5:B34">IF(ISBLANK(C5),"",IF(A5&lt;=Gold_12,Goldplakette,IF(A5&lt;=Silber_12,Silberplakette,IF(A5&lt;=Bronze_12,Bronzeplakette,Erinnerung))))</f>
      </c>
      <c r="C5" s="56"/>
      <c r="D5" s="36">
        <f aca="true" t="shared" si="1" ref="D5:D34">IF(ISBLANK(C5),"",VLOOKUP(C5,Starter_Feld,2,FALSE))</f>
      </c>
      <c r="E5" s="37">
        <f aca="true" t="shared" si="2" ref="E5:E34">IF(ISBLANK(C5),"",VLOOKUP(C5,Starter_Feld,3,FALSE))</f>
      </c>
      <c r="F5" s="38">
        <f aca="true" t="shared" si="3" ref="F5:F34">IF(ISBLANK(C5),"",VLOOKUP(C5,Starter_Feld,4,FALSE))</f>
      </c>
      <c r="G5" s="39">
        <f aca="true" t="shared" si="4" ref="G5:G34">IF(ISBLANK(C5),"",VLOOKUP(C5,Starter_Feld,5,FALSE))</f>
      </c>
      <c r="H5" s="38">
        <f aca="true" t="shared" si="5" ref="H5:H34">IF(ISBLANK(C5),"",VLOOKUP(C5,Starter_Feld,7,FALSE))</f>
      </c>
      <c r="I5" s="136">
        <f aca="true" t="shared" si="6" ref="I5:I34">IF(ISBLANK(C5),"",VLOOKUP(C5,Starter_Feld,8,FALSE))</f>
      </c>
      <c r="J5" s="67"/>
      <c r="K5" s="68"/>
      <c r="L5" s="41">
        <f aca="true" t="shared" si="7" ref="L5:L34">SUM(0.000011575*K5)</f>
        <v>0</v>
      </c>
      <c r="M5" s="41">
        <f aca="true" t="shared" si="8" ref="M5:M34">SUM(J5,L5)</f>
        <v>0</v>
      </c>
      <c r="N5" s="88">
        <f aca="true" t="shared" si="9" ref="N5:N34">IF(J5&lt;&gt;0,M5,"")</f>
      </c>
      <c r="O5" s="71"/>
      <c r="P5" s="72"/>
      <c r="Q5" s="41">
        <f aca="true" t="shared" si="10" ref="Q5:Q34">SUM(0.000011575*P5)</f>
        <v>0</v>
      </c>
      <c r="R5" s="41">
        <f aca="true" t="shared" si="11" ref="R5:R34">SUM(O5,Q5)</f>
        <v>0</v>
      </c>
      <c r="S5" s="81">
        <f aca="true" t="shared" si="12" ref="S5:S34">IF(O5&lt;&gt;0,R5,"")</f>
      </c>
      <c r="T5" s="82">
        <f aca="true" t="shared" si="13" ref="T5:T34">MIN(N5,S5)</f>
        <v>0</v>
      </c>
      <c r="U5" s="83">
        <f aca="true" t="shared" si="14" ref="U5:U34">IF(O5=0,"",T5)</f>
      </c>
      <c r="V5" s="84" t="e">
        <f aca="true" t="shared" si="15" ref="V5:V34">23-(20*(A5))/D$2</f>
        <v>#VALUE!</v>
      </c>
      <c r="W5" s="138">
        <f aca="true" t="shared" si="16" ref="W5:W34">IF(O5=0,"",V5)</f>
      </c>
      <c r="X5" s="1"/>
    </row>
    <row r="6" spans="1:24" s="33" customFormat="1" ht="15" customHeight="1">
      <c r="A6" s="45">
        <f aca="true" t="shared" si="17" ref="A6:A33">IF(ISBLANK(C6),"",A5+1)</f>
      </c>
      <c r="B6" s="40">
        <f t="shared" si="0"/>
      </c>
      <c r="C6" s="57"/>
      <c r="D6" s="36">
        <f t="shared" si="1"/>
      </c>
      <c r="E6" s="37">
        <f t="shared" si="2"/>
      </c>
      <c r="F6" s="38">
        <f t="shared" si="3"/>
      </c>
      <c r="G6" s="39">
        <f t="shared" si="4"/>
      </c>
      <c r="H6" s="38">
        <f t="shared" si="5"/>
      </c>
      <c r="I6" s="137">
        <f t="shared" si="6"/>
      </c>
      <c r="J6" s="69"/>
      <c r="K6" s="70"/>
      <c r="L6" s="42">
        <f t="shared" si="7"/>
        <v>0</v>
      </c>
      <c r="M6" s="42">
        <f t="shared" si="8"/>
        <v>0</v>
      </c>
      <c r="N6" s="89">
        <f t="shared" si="9"/>
      </c>
      <c r="O6" s="73"/>
      <c r="P6" s="74"/>
      <c r="Q6" s="42">
        <f t="shared" si="10"/>
        <v>0</v>
      </c>
      <c r="R6" s="42">
        <f t="shared" si="11"/>
        <v>0</v>
      </c>
      <c r="S6" s="85">
        <f t="shared" si="12"/>
      </c>
      <c r="T6" s="82">
        <f t="shared" si="13"/>
        <v>0</v>
      </c>
      <c r="U6" s="86">
        <f t="shared" si="14"/>
      </c>
      <c r="V6" s="84" t="e">
        <f t="shared" si="15"/>
        <v>#VALUE!</v>
      </c>
      <c r="W6" s="139">
        <f t="shared" si="16"/>
      </c>
      <c r="X6" s="1"/>
    </row>
    <row r="7" spans="1:24" s="33" customFormat="1" ht="15" customHeight="1">
      <c r="A7" s="45">
        <f t="shared" si="17"/>
      </c>
      <c r="B7" s="40">
        <f t="shared" si="0"/>
      </c>
      <c r="C7" s="57"/>
      <c r="D7" s="36">
        <f t="shared" si="1"/>
      </c>
      <c r="E7" s="37">
        <f t="shared" si="2"/>
      </c>
      <c r="F7" s="38">
        <f t="shared" si="3"/>
      </c>
      <c r="G7" s="39">
        <f t="shared" si="4"/>
      </c>
      <c r="H7" s="38">
        <f t="shared" si="5"/>
      </c>
      <c r="I7" s="137">
        <f t="shared" si="6"/>
      </c>
      <c r="J7" s="69"/>
      <c r="K7" s="70"/>
      <c r="L7" s="42">
        <f t="shared" si="7"/>
        <v>0</v>
      </c>
      <c r="M7" s="42">
        <f t="shared" si="8"/>
        <v>0</v>
      </c>
      <c r="N7" s="89">
        <f t="shared" si="9"/>
      </c>
      <c r="O7" s="73"/>
      <c r="P7" s="74"/>
      <c r="Q7" s="42">
        <f t="shared" si="10"/>
        <v>0</v>
      </c>
      <c r="R7" s="42">
        <f t="shared" si="11"/>
        <v>0</v>
      </c>
      <c r="S7" s="85">
        <f t="shared" si="12"/>
      </c>
      <c r="T7" s="82">
        <f t="shared" si="13"/>
        <v>0</v>
      </c>
      <c r="U7" s="86">
        <f t="shared" si="14"/>
      </c>
      <c r="V7" s="84" t="e">
        <f t="shared" si="15"/>
        <v>#VALUE!</v>
      </c>
      <c r="W7" s="139">
        <f t="shared" si="16"/>
      </c>
      <c r="X7" s="1"/>
    </row>
    <row r="8" spans="1:24" s="33" customFormat="1" ht="15" customHeight="1">
      <c r="A8" s="45">
        <f t="shared" si="17"/>
      </c>
      <c r="B8" s="40">
        <f t="shared" si="0"/>
      </c>
      <c r="C8" s="57"/>
      <c r="D8" s="36">
        <f t="shared" si="1"/>
      </c>
      <c r="E8" s="37">
        <f t="shared" si="2"/>
      </c>
      <c r="F8" s="38">
        <f t="shared" si="3"/>
      </c>
      <c r="G8" s="39">
        <f t="shared" si="4"/>
      </c>
      <c r="H8" s="38">
        <f t="shared" si="5"/>
      </c>
      <c r="I8" s="137">
        <f t="shared" si="6"/>
      </c>
      <c r="J8" s="69"/>
      <c r="K8" s="70"/>
      <c r="L8" s="42">
        <f t="shared" si="7"/>
        <v>0</v>
      </c>
      <c r="M8" s="42">
        <f t="shared" si="8"/>
        <v>0</v>
      </c>
      <c r="N8" s="89">
        <f t="shared" si="9"/>
      </c>
      <c r="O8" s="73"/>
      <c r="P8" s="74"/>
      <c r="Q8" s="42">
        <f t="shared" si="10"/>
        <v>0</v>
      </c>
      <c r="R8" s="42">
        <f t="shared" si="11"/>
        <v>0</v>
      </c>
      <c r="S8" s="85">
        <f t="shared" si="12"/>
      </c>
      <c r="T8" s="82">
        <f t="shared" si="13"/>
        <v>0</v>
      </c>
      <c r="U8" s="86">
        <f t="shared" si="14"/>
      </c>
      <c r="V8" s="84" t="e">
        <f t="shared" si="15"/>
        <v>#VALUE!</v>
      </c>
      <c r="W8" s="139">
        <f t="shared" si="16"/>
      </c>
      <c r="X8" s="1"/>
    </row>
    <row r="9" spans="1:24" s="33" customFormat="1" ht="15" customHeight="1">
      <c r="A9" s="45">
        <f t="shared" si="17"/>
      </c>
      <c r="B9" s="40">
        <f t="shared" si="0"/>
      </c>
      <c r="C9" s="57"/>
      <c r="D9" s="36">
        <f t="shared" si="1"/>
      </c>
      <c r="E9" s="37">
        <f t="shared" si="2"/>
      </c>
      <c r="F9" s="38">
        <f t="shared" si="3"/>
      </c>
      <c r="G9" s="39">
        <f t="shared" si="4"/>
      </c>
      <c r="H9" s="38">
        <f t="shared" si="5"/>
      </c>
      <c r="I9" s="137">
        <f t="shared" si="6"/>
      </c>
      <c r="J9" s="69"/>
      <c r="K9" s="70"/>
      <c r="L9" s="42">
        <f t="shared" si="7"/>
        <v>0</v>
      </c>
      <c r="M9" s="42">
        <f t="shared" si="8"/>
        <v>0</v>
      </c>
      <c r="N9" s="89">
        <f t="shared" si="9"/>
      </c>
      <c r="O9" s="73"/>
      <c r="P9" s="74"/>
      <c r="Q9" s="42">
        <f t="shared" si="10"/>
        <v>0</v>
      </c>
      <c r="R9" s="42">
        <f t="shared" si="11"/>
        <v>0</v>
      </c>
      <c r="S9" s="85">
        <f t="shared" si="12"/>
      </c>
      <c r="T9" s="82">
        <f t="shared" si="13"/>
        <v>0</v>
      </c>
      <c r="U9" s="86">
        <f t="shared" si="14"/>
      </c>
      <c r="V9" s="84" t="e">
        <f t="shared" si="15"/>
        <v>#VALUE!</v>
      </c>
      <c r="W9" s="139">
        <f t="shared" si="16"/>
      </c>
      <c r="X9" s="1"/>
    </row>
    <row r="10" spans="1:24" s="33" customFormat="1" ht="15" customHeight="1">
      <c r="A10" s="45">
        <f t="shared" si="17"/>
      </c>
      <c r="B10" s="40">
        <f t="shared" si="0"/>
      </c>
      <c r="C10" s="57"/>
      <c r="D10" s="36">
        <f t="shared" si="1"/>
      </c>
      <c r="E10" s="37">
        <f t="shared" si="2"/>
      </c>
      <c r="F10" s="38">
        <f t="shared" si="3"/>
      </c>
      <c r="G10" s="39">
        <f t="shared" si="4"/>
      </c>
      <c r="H10" s="38">
        <f t="shared" si="5"/>
      </c>
      <c r="I10" s="137">
        <f t="shared" si="6"/>
      </c>
      <c r="J10" s="69"/>
      <c r="K10" s="70"/>
      <c r="L10" s="42">
        <f t="shared" si="7"/>
        <v>0</v>
      </c>
      <c r="M10" s="42">
        <f t="shared" si="8"/>
        <v>0</v>
      </c>
      <c r="N10" s="89">
        <f t="shared" si="9"/>
      </c>
      <c r="O10" s="73"/>
      <c r="P10" s="74"/>
      <c r="Q10" s="42">
        <f t="shared" si="10"/>
        <v>0</v>
      </c>
      <c r="R10" s="42">
        <f t="shared" si="11"/>
        <v>0</v>
      </c>
      <c r="S10" s="85">
        <f t="shared" si="12"/>
      </c>
      <c r="T10" s="82">
        <f t="shared" si="13"/>
        <v>0</v>
      </c>
      <c r="U10" s="86">
        <f t="shared" si="14"/>
      </c>
      <c r="V10" s="84" t="e">
        <f t="shared" si="15"/>
        <v>#VALUE!</v>
      </c>
      <c r="W10" s="139">
        <f t="shared" si="16"/>
      </c>
      <c r="X10" s="1"/>
    </row>
    <row r="11" spans="1:24" s="33" customFormat="1" ht="15" customHeight="1">
      <c r="A11" s="45">
        <f t="shared" si="17"/>
      </c>
      <c r="B11" s="40">
        <f t="shared" si="0"/>
      </c>
      <c r="C11" s="57"/>
      <c r="D11" s="36">
        <f t="shared" si="1"/>
      </c>
      <c r="E11" s="37">
        <f t="shared" si="2"/>
      </c>
      <c r="F11" s="38">
        <f t="shared" si="3"/>
      </c>
      <c r="G11" s="39">
        <f t="shared" si="4"/>
      </c>
      <c r="H11" s="38">
        <f t="shared" si="5"/>
      </c>
      <c r="I11" s="137">
        <f t="shared" si="6"/>
      </c>
      <c r="J11" s="69"/>
      <c r="K11" s="70"/>
      <c r="L11" s="42">
        <f t="shared" si="7"/>
        <v>0</v>
      </c>
      <c r="M11" s="42">
        <f t="shared" si="8"/>
        <v>0</v>
      </c>
      <c r="N11" s="89">
        <f t="shared" si="9"/>
      </c>
      <c r="O11" s="73"/>
      <c r="P11" s="74"/>
      <c r="Q11" s="42">
        <f t="shared" si="10"/>
        <v>0</v>
      </c>
      <c r="R11" s="42">
        <f t="shared" si="11"/>
        <v>0</v>
      </c>
      <c r="S11" s="85">
        <f t="shared" si="12"/>
      </c>
      <c r="T11" s="82">
        <f t="shared" si="13"/>
        <v>0</v>
      </c>
      <c r="U11" s="86">
        <f t="shared" si="14"/>
      </c>
      <c r="V11" s="84" t="e">
        <f t="shared" si="15"/>
        <v>#VALUE!</v>
      </c>
      <c r="W11" s="139">
        <f t="shared" si="16"/>
      </c>
      <c r="X11" s="1"/>
    </row>
    <row r="12" spans="1:24" s="33" customFormat="1" ht="15" customHeight="1">
      <c r="A12" s="45">
        <f t="shared" si="17"/>
      </c>
      <c r="B12" s="40">
        <f t="shared" si="0"/>
      </c>
      <c r="C12" s="57"/>
      <c r="D12" s="36">
        <f t="shared" si="1"/>
      </c>
      <c r="E12" s="37">
        <f t="shared" si="2"/>
      </c>
      <c r="F12" s="38">
        <f t="shared" si="3"/>
      </c>
      <c r="G12" s="39">
        <f t="shared" si="4"/>
      </c>
      <c r="H12" s="38">
        <f t="shared" si="5"/>
      </c>
      <c r="I12" s="137">
        <f t="shared" si="6"/>
      </c>
      <c r="J12" s="141"/>
      <c r="K12" s="70"/>
      <c r="L12" s="42">
        <f t="shared" si="7"/>
        <v>0</v>
      </c>
      <c r="M12" s="42">
        <f t="shared" si="8"/>
        <v>0</v>
      </c>
      <c r="N12" s="89">
        <f t="shared" si="9"/>
      </c>
      <c r="O12" s="73"/>
      <c r="P12" s="74"/>
      <c r="Q12" s="42">
        <f t="shared" si="10"/>
        <v>0</v>
      </c>
      <c r="R12" s="42">
        <f t="shared" si="11"/>
        <v>0</v>
      </c>
      <c r="S12" s="85">
        <f t="shared" si="12"/>
      </c>
      <c r="T12" s="82">
        <f t="shared" si="13"/>
        <v>0</v>
      </c>
      <c r="U12" s="86">
        <f t="shared" si="14"/>
      </c>
      <c r="V12" s="84" t="e">
        <f t="shared" si="15"/>
        <v>#VALUE!</v>
      </c>
      <c r="W12" s="139">
        <f t="shared" si="16"/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6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41</v>
      </c>
      <c r="B2" s="50"/>
      <c r="C2" s="60"/>
      <c r="D2" s="50">
        <f>MAX(A5:A34)</f>
        <v>0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</c>
      <c r="B5" s="35">
        <f aca="true" t="shared" si="0" ref="B5:B34">IF(ISBLANK(C5),"",IF(A5&lt;=Gold_13,Goldplakette,IF(A5&lt;=Silber_13,Silberplakette,IF(A5&lt;=Bronze_13,Bronzeplakette,Erinnerung))))</f>
      </c>
      <c r="C5" s="56"/>
      <c r="D5" s="36">
        <f aca="true" t="shared" si="1" ref="D5:D34">IF(ISBLANK(C5),"",VLOOKUP(C5,Starter_Feld,2,FALSE))</f>
      </c>
      <c r="E5" s="37">
        <f aca="true" t="shared" si="2" ref="E5:E34">IF(ISBLANK(C5),"",VLOOKUP(C5,Starter_Feld,3,FALSE))</f>
      </c>
      <c r="F5" s="38">
        <f aca="true" t="shared" si="3" ref="F5:F34">IF(ISBLANK(C5),"",VLOOKUP(C5,Starter_Feld,4,FALSE))</f>
      </c>
      <c r="G5" s="39">
        <f aca="true" t="shared" si="4" ref="G5:G34">IF(ISBLANK(C5),"",VLOOKUP(C5,Starter_Feld,5,FALSE))</f>
      </c>
      <c r="H5" s="38">
        <f aca="true" t="shared" si="5" ref="H5:H34">IF(ISBLANK(C5),"",VLOOKUP(C5,Starter_Feld,7,FALSE))</f>
      </c>
      <c r="I5" s="136">
        <f aca="true" t="shared" si="6" ref="I5:I34">IF(ISBLANK(C5),"",VLOOKUP(C5,Starter_Feld,8,FALSE))</f>
      </c>
      <c r="J5" s="67"/>
      <c r="K5" s="68"/>
      <c r="L5" s="41">
        <f aca="true" t="shared" si="7" ref="L5:L34">SUM(0.000011575*K5)</f>
        <v>0</v>
      </c>
      <c r="M5" s="41">
        <f aca="true" t="shared" si="8" ref="M5:M34">SUM(J5,L5)</f>
        <v>0</v>
      </c>
      <c r="N5" s="88">
        <f aca="true" t="shared" si="9" ref="N5:N34">IF(J5&lt;&gt;0,M5,"")</f>
      </c>
      <c r="O5" s="71"/>
      <c r="P5" s="72"/>
      <c r="Q5" s="41">
        <f aca="true" t="shared" si="10" ref="Q5:Q34">SUM(0.000011575*P5)</f>
        <v>0</v>
      </c>
      <c r="R5" s="41">
        <f aca="true" t="shared" si="11" ref="R5:R34">SUM(O5,Q5)</f>
        <v>0</v>
      </c>
      <c r="S5" s="81">
        <f aca="true" t="shared" si="12" ref="S5:S34">IF(O5&lt;&gt;0,R5,"")</f>
      </c>
      <c r="T5" s="82">
        <f aca="true" t="shared" si="13" ref="T5:T34">MIN(N5,S5)</f>
        <v>0</v>
      </c>
      <c r="U5" s="83">
        <f aca="true" t="shared" si="14" ref="U5:U34">IF(O5=0,"",T5)</f>
      </c>
      <c r="V5" s="84" t="e">
        <f aca="true" t="shared" si="15" ref="V5:V34">23-(20*(A5))/D$2</f>
        <v>#VALUE!</v>
      </c>
      <c r="W5" s="138">
        <f aca="true" t="shared" si="16" ref="W5:W34">IF(O5=0,"",V5)</f>
      </c>
      <c r="X5" s="1"/>
    </row>
    <row r="6" spans="1:24" s="33" customFormat="1" ht="15" customHeight="1">
      <c r="A6" s="45">
        <f aca="true" t="shared" si="17" ref="A6:A33">IF(ISBLANK(C6),"",A5+1)</f>
      </c>
      <c r="B6" s="40">
        <f t="shared" si="0"/>
      </c>
      <c r="C6" s="57"/>
      <c r="D6" s="36">
        <f t="shared" si="1"/>
      </c>
      <c r="E6" s="37">
        <f t="shared" si="2"/>
      </c>
      <c r="F6" s="38">
        <f t="shared" si="3"/>
      </c>
      <c r="G6" s="39">
        <f t="shared" si="4"/>
      </c>
      <c r="H6" s="38">
        <f t="shared" si="5"/>
      </c>
      <c r="I6" s="137">
        <f t="shared" si="6"/>
      </c>
      <c r="J6" s="69"/>
      <c r="K6" s="70"/>
      <c r="L6" s="42">
        <f t="shared" si="7"/>
        <v>0</v>
      </c>
      <c r="M6" s="42">
        <f t="shared" si="8"/>
        <v>0</v>
      </c>
      <c r="N6" s="89">
        <f t="shared" si="9"/>
      </c>
      <c r="O6" s="73"/>
      <c r="P6" s="74"/>
      <c r="Q6" s="42">
        <f t="shared" si="10"/>
        <v>0</v>
      </c>
      <c r="R6" s="42">
        <f t="shared" si="11"/>
        <v>0</v>
      </c>
      <c r="S6" s="85">
        <f t="shared" si="12"/>
      </c>
      <c r="T6" s="82">
        <f t="shared" si="13"/>
        <v>0</v>
      </c>
      <c r="U6" s="86">
        <f t="shared" si="14"/>
      </c>
      <c r="V6" s="84" t="e">
        <f t="shared" si="15"/>
        <v>#VALUE!</v>
      </c>
      <c r="W6" s="139">
        <f t="shared" si="16"/>
      </c>
      <c r="X6" s="1"/>
    </row>
    <row r="7" spans="1:24" s="33" customFormat="1" ht="15" customHeight="1">
      <c r="A7" s="45">
        <f t="shared" si="17"/>
      </c>
      <c r="B7" s="40">
        <f t="shared" si="0"/>
      </c>
      <c r="C7" s="57"/>
      <c r="D7" s="36">
        <f t="shared" si="1"/>
      </c>
      <c r="E7" s="37">
        <f t="shared" si="2"/>
      </c>
      <c r="F7" s="38">
        <f t="shared" si="3"/>
      </c>
      <c r="G7" s="39">
        <f t="shared" si="4"/>
      </c>
      <c r="H7" s="38">
        <f t="shared" si="5"/>
      </c>
      <c r="I7" s="137">
        <f t="shared" si="6"/>
      </c>
      <c r="J7" s="69"/>
      <c r="K7" s="70"/>
      <c r="L7" s="42">
        <f t="shared" si="7"/>
        <v>0</v>
      </c>
      <c r="M7" s="42">
        <f t="shared" si="8"/>
        <v>0</v>
      </c>
      <c r="N7" s="89">
        <f t="shared" si="9"/>
      </c>
      <c r="O7" s="73"/>
      <c r="P7" s="74"/>
      <c r="Q7" s="42">
        <f t="shared" si="10"/>
        <v>0</v>
      </c>
      <c r="R7" s="42">
        <f t="shared" si="11"/>
        <v>0</v>
      </c>
      <c r="S7" s="85">
        <f t="shared" si="12"/>
      </c>
      <c r="T7" s="82">
        <f t="shared" si="13"/>
        <v>0</v>
      </c>
      <c r="U7" s="86">
        <f t="shared" si="14"/>
      </c>
      <c r="V7" s="84" t="e">
        <f t="shared" si="15"/>
        <v>#VALUE!</v>
      </c>
      <c r="W7" s="139">
        <f t="shared" si="16"/>
      </c>
      <c r="X7" s="1"/>
    </row>
    <row r="8" spans="1:24" s="33" customFormat="1" ht="15" customHeight="1">
      <c r="A8" s="45">
        <f t="shared" si="17"/>
      </c>
      <c r="B8" s="40">
        <f t="shared" si="0"/>
      </c>
      <c r="C8" s="57"/>
      <c r="D8" s="36">
        <f t="shared" si="1"/>
      </c>
      <c r="E8" s="37">
        <f t="shared" si="2"/>
      </c>
      <c r="F8" s="38">
        <f t="shared" si="3"/>
      </c>
      <c r="G8" s="39">
        <f t="shared" si="4"/>
      </c>
      <c r="H8" s="38">
        <f t="shared" si="5"/>
      </c>
      <c r="I8" s="137">
        <f t="shared" si="6"/>
      </c>
      <c r="J8" s="69"/>
      <c r="K8" s="70"/>
      <c r="L8" s="42">
        <f t="shared" si="7"/>
        <v>0</v>
      </c>
      <c r="M8" s="42">
        <f t="shared" si="8"/>
        <v>0</v>
      </c>
      <c r="N8" s="89">
        <f t="shared" si="9"/>
      </c>
      <c r="O8" s="73"/>
      <c r="P8" s="74"/>
      <c r="Q8" s="42">
        <f t="shared" si="10"/>
        <v>0</v>
      </c>
      <c r="R8" s="42">
        <f t="shared" si="11"/>
        <v>0</v>
      </c>
      <c r="S8" s="85">
        <f t="shared" si="12"/>
      </c>
      <c r="T8" s="82">
        <f t="shared" si="13"/>
        <v>0</v>
      </c>
      <c r="U8" s="86">
        <f t="shared" si="14"/>
      </c>
      <c r="V8" s="84" t="e">
        <f t="shared" si="15"/>
        <v>#VALUE!</v>
      </c>
      <c r="W8" s="139">
        <f t="shared" si="16"/>
      </c>
      <c r="X8" s="1"/>
    </row>
    <row r="9" spans="1:24" s="33" customFormat="1" ht="15" customHeight="1">
      <c r="A9" s="45">
        <f t="shared" si="17"/>
      </c>
      <c r="B9" s="40">
        <f t="shared" si="0"/>
      </c>
      <c r="C9" s="57"/>
      <c r="D9" s="36">
        <f t="shared" si="1"/>
      </c>
      <c r="E9" s="37">
        <f t="shared" si="2"/>
      </c>
      <c r="F9" s="38">
        <f t="shared" si="3"/>
      </c>
      <c r="G9" s="39">
        <f t="shared" si="4"/>
      </c>
      <c r="H9" s="38">
        <f t="shared" si="5"/>
      </c>
      <c r="I9" s="137">
        <f t="shared" si="6"/>
      </c>
      <c r="J9" s="69"/>
      <c r="K9" s="70"/>
      <c r="L9" s="42">
        <f t="shared" si="7"/>
        <v>0</v>
      </c>
      <c r="M9" s="42">
        <f t="shared" si="8"/>
        <v>0</v>
      </c>
      <c r="N9" s="89">
        <f t="shared" si="9"/>
      </c>
      <c r="O9" s="73"/>
      <c r="P9" s="74"/>
      <c r="Q9" s="42">
        <f t="shared" si="10"/>
        <v>0</v>
      </c>
      <c r="R9" s="42">
        <f t="shared" si="11"/>
        <v>0</v>
      </c>
      <c r="S9" s="85">
        <f t="shared" si="12"/>
      </c>
      <c r="T9" s="82">
        <f t="shared" si="13"/>
        <v>0</v>
      </c>
      <c r="U9" s="86">
        <f t="shared" si="14"/>
      </c>
      <c r="V9" s="84" t="e">
        <f t="shared" si="15"/>
        <v>#VALUE!</v>
      </c>
      <c r="W9" s="139">
        <f t="shared" si="16"/>
      </c>
      <c r="X9" s="1"/>
    </row>
    <row r="10" spans="1:24" s="33" customFormat="1" ht="15" customHeight="1">
      <c r="A10" s="45">
        <f t="shared" si="17"/>
      </c>
      <c r="B10" s="40">
        <f t="shared" si="0"/>
      </c>
      <c r="C10" s="57"/>
      <c r="D10" s="36">
        <f t="shared" si="1"/>
      </c>
      <c r="E10" s="37">
        <f t="shared" si="2"/>
      </c>
      <c r="F10" s="38">
        <f t="shared" si="3"/>
      </c>
      <c r="G10" s="39">
        <f t="shared" si="4"/>
      </c>
      <c r="H10" s="38">
        <f t="shared" si="5"/>
      </c>
      <c r="I10" s="137">
        <f t="shared" si="6"/>
      </c>
      <c r="J10" s="69"/>
      <c r="K10" s="70"/>
      <c r="L10" s="42">
        <f t="shared" si="7"/>
        <v>0</v>
      </c>
      <c r="M10" s="42">
        <f t="shared" si="8"/>
        <v>0</v>
      </c>
      <c r="N10" s="89">
        <f t="shared" si="9"/>
      </c>
      <c r="O10" s="73"/>
      <c r="P10" s="74"/>
      <c r="Q10" s="42">
        <f t="shared" si="10"/>
        <v>0</v>
      </c>
      <c r="R10" s="42">
        <f t="shared" si="11"/>
        <v>0</v>
      </c>
      <c r="S10" s="85">
        <f t="shared" si="12"/>
      </c>
      <c r="T10" s="82">
        <f t="shared" si="13"/>
        <v>0</v>
      </c>
      <c r="U10" s="86">
        <f t="shared" si="14"/>
      </c>
      <c r="V10" s="84" t="e">
        <f t="shared" si="15"/>
        <v>#VALUE!</v>
      </c>
      <c r="W10" s="139">
        <f t="shared" si="16"/>
      </c>
      <c r="X10" s="1"/>
    </row>
    <row r="11" spans="1:24" s="33" customFormat="1" ht="15" customHeight="1">
      <c r="A11" s="45">
        <f t="shared" si="17"/>
      </c>
      <c r="B11" s="40">
        <f t="shared" si="0"/>
      </c>
      <c r="C11" s="57"/>
      <c r="D11" s="36">
        <f t="shared" si="1"/>
      </c>
      <c r="E11" s="37">
        <f t="shared" si="2"/>
      </c>
      <c r="F11" s="38">
        <f t="shared" si="3"/>
      </c>
      <c r="G11" s="39">
        <f t="shared" si="4"/>
      </c>
      <c r="H11" s="38">
        <f t="shared" si="5"/>
      </c>
      <c r="I11" s="137">
        <f t="shared" si="6"/>
      </c>
      <c r="J11" s="69"/>
      <c r="K11" s="70"/>
      <c r="L11" s="42">
        <f t="shared" si="7"/>
        <v>0</v>
      </c>
      <c r="M11" s="42">
        <f t="shared" si="8"/>
        <v>0</v>
      </c>
      <c r="N11" s="89">
        <f t="shared" si="9"/>
      </c>
      <c r="O11" s="73"/>
      <c r="P11" s="74"/>
      <c r="Q11" s="42">
        <f t="shared" si="10"/>
        <v>0</v>
      </c>
      <c r="R11" s="42">
        <f t="shared" si="11"/>
        <v>0</v>
      </c>
      <c r="S11" s="85">
        <f t="shared" si="12"/>
      </c>
      <c r="T11" s="82">
        <f t="shared" si="13"/>
        <v>0</v>
      </c>
      <c r="U11" s="86">
        <f t="shared" si="14"/>
      </c>
      <c r="V11" s="84" t="e">
        <f t="shared" si="15"/>
        <v>#VALUE!</v>
      </c>
      <c r="W11" s="139">
        <f t="shared" si="16"/>
      </c>
      <c r="X11" s="1"/>
    </row>
    <row r="12" spans="1:24" s="33" customFormat="1" ht="15" customHeight="1">
      <c r="A12" s="45">
        <f t="shared" si="17"/>
      </c>
      <c r="B12" s="40">
        <f t="shared" si="0"/>
      </c>
      <c r="C12" s="57"/>
      <c r="D12" s="36">
        <f t="shared" si="1"/>
      </c>
      <c r="E12" s="37">
        <f t="shared" si="2"/>
      </c>
      <c r="F12" s="38">
        <f t="shared" si="3"/>
      </c>
      <c r="G12" s="39">
        <f t="shared" si="4"/>
      </c>
      <c r="H12" s="38">
        <f t="shared" si="5"/>
      </c>
      <c r="I12" s="137">
        <f t="shared" si="6"/>
      </c>
      <c r="J12" s="141"/>
      <c r="K12" s="70"/>
      <c r="L12" s="42">
        <f t="shared" si="7"/>
        <v>0</v>
      </c>
      <c r="M12" s="42">
        <f t="shared" si="8"/>
        <v>0</v>
      </c>
      <c r="N12" s="89">
        <f t="shared" si="9"/>
      </c>
      <c r="O12" s="73"/>
      <c r="P12" s="74"/>
      <c r="Q12" s="42">
        <f t="shared" si="10"/>
        <v>0</v>
      </c>
      <c r="R12" s="42">
        <f t="shared" si="11"/>
        <v>0</v>
      </c>
      <c r="S12" s="85">
        <f t="shared" si="12"/>
      </c>
      <c r="T12" s="82">
        <f t="shared" si="13"/>
        <v>0</v>
      </c>
      <c r="U12" s="86">
        <f t="shared" si="14"/>
      </c>
      <c r="V12" s="84" t="e">
        <f t="shared" si="15"/>
        <v>#VALUE!</v>
      </c>
      <c r="W12" s="139">
        <f t="shared" si="16"/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7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55</v>
      </c>
      <c r="B2" s="50"/>
      <c r="C2" s="60"/>
      <c r="D2" s="50">
        <f>MAX(A5:A34)</f>
        <v>5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IF(ISBLANK(C5),"",IF(A5&lt;=Gold_14,Goldplakette,IF(A5&lt;=Silber_14,Silberplakette,IF(A5&lt;=Bronze_14,Bronzeplakette,Erinnerung))))</f>
        <v>G</v>
      </c>
      <c r="C5" s="56">
        <v>91</v>
      </c>
      <c r="D5" s="36">
        <f aca="true" t="shared" si="1" ref="D5:D34">IF(ISBLANK(C5),"",VLOOKUP(C5,Starter_Feld,2,FALSE))</f>
        <v>15758</v>
      </c>
      <c r="E5" s="37" t="str">
        <f aca="true" t="shared" si="2" ref="E5:E34">IF(ISBLANK(C5),"",VLOOKUP(C5,Starter_Feld,3,FALSE))</f>
        <v>Minuth, Nino</v>
      </c>
      <c r="F5" s="38" t="str">
        <f aca="true" t="shared" si="3" ref="F5:F34">IF(ISBLANK(C5),"",VLOOKUP(C5,Starter_Feld,4,FALSE))</f>
        <v>Team Minuth Motorsport</v>
      </c>
      <c r="G5" s="39" t="str">
        <f aca="true" t="shared" si="4" ref="G5:G34">IF(ISBLANK(C5),"",VLOOKUP(C5,Starter_Feld,5,FALSE))</f>
        <v>Opel Kadett C Coupé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0.0006339120370370371</v>
      </c>
      <c r="K5" s="68"/>
      <c r="L5" s="41">
        <f aca="true" t="shared" si="7" ref="L5:L34">SUM(0.000011575*K5)</f>
        <v>0</v>
      </c>
      <c r="M5" s="41">
        <f aca="true" t="shared" si="8" ref="M5:M34">SUM(J5,L5)</f>
        <v>0.0006339120370370371</v>
      </c>
      <c r="N5" s="88">
        <f aca="true" t="shared" si="9" ref="N5:N34">IF(J5&lt;&gt;0,M5,"")</f>
        <v>0.0006339120370370371</v>
      </c>
      <c r="O5" s="71">
        <v>0.0006278935185185185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0.0006278935185185185</v>
      </c>
      <c r="S5" s="81">
        <f aca="true" t="shared" si="12" ref="S5:S34">IF(O5&lt;&gt;0,R5,"")</f>
        <v>0.0006278935185185185</v>
      </c>
      <c r="T5" s="82">
        <f aca="true" t="shared" si="13" ref="T5:T34">MIN(N5,S5)</f>
        <v>0.0006278935185185185</v>
      </c>
      <c r="U5" s="83">
        <f aca="true" t="shared" si="14" ref="U5:U34">IF(O5=0,"",T5)</f>
        <v>0.0006278935185185185</v>
      </c>
      <c r="V5" s="84">
        <f aca="true" t="shared" si="15" ref="V5:V34">23-(20*(A5))/D$2</f>
        <v>19</v>
      </c>
      <c r="W5" s="138">
        <f aca="true" t="shared" si="16" ref="W5:W34">IF(O5=0,"",V5)</f>
        <v>19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S</v>
      </c>
      <c r="C6" s="57">
        <v>16</v>
      </c>
      <c r="D6" s="36">
        <f t="shared" si="1"/>
        <v>15531</v>
      </c>
      <c r="E6" s="37" t="str">
        <f t="shared" si="2"/>
        <v>Minuth, Franziska</v>
      </c>
      <c r="F6" s="38" t="str">
        <f t="shared" si="3"/>
        <v>Team Minuth Motorsport</v>
      </c>
      <c r="G6" s="39" t="str">
        <f t="shared" si="4"/>
        <v>Opel Kadett C Coupé</v>
      </c>
      <c r="H6" s="38">
        <f t="shared" si="5"/>
        <v>1</v>
      </c>
      <c r="I6" s="137">
        <f t="shared" si="6"/>
        <v>1</v>
      </c>
      <c r="J6" s="69">
        <v>0.0008283564814814816</v>
      </c>
      <c r="K6" s="70"/>
      <c r="L6" s="42">
        <f t="shared" si="7"/>
        <v>0</v>
      </c>
      <c r="M6" s="42">
        <f t="shared" si="8"/>
        <v>0.0008283564814814816</v>
      </c>
      <c r="N6" s="89">
        <f t="shared" si="9"/>
        <v>0.0008283564814814816</v>
      </c>
      <c r="O6" s="73">
        <v>0.000787037037037037</v>
      </c>
      <c r="P6" s="74"/>
      <c r="Q6" s="42">
        <f t="shared" si="10"/>
        <v>0</v>
      </c>
      <c r="R6" s="42">
        <f t="shared" si="11"/>
        <v>0.000787037037037037</v>
      </c>
      <c r="S6" s="85">
        <f t="shared" si="12"/>
        <v>0.000787037037037037</v>
      </c>
      <c r="T6" s="82">
        <f t="shared" si="13"/>
        <v>0.000787037037037037</v>
      </c>
      <c r="U6" s="86">
        <f t="shared" si="14"/>
        <v>0.000787037037037037</v>
      </c>
      <c r="V6" s="84">
        <f t="shared" si="15"/>
        <v>15</v>
      </c>
      <c r="W6" s="139">
        <f t="shared" si="16"/>
        <v>15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B</v>
      </c>
      <c r="C7" s="57">
        <v>177</v>
      </c>
      <c r="D7" s="36">
        <f t="shared" si="1"/>
        <v>0</v>
      </c>
      <c r="E7" s="37" t="str">
        <f t="shared" si="2"/>
        <v>Emgenbroich, Daniel</v>
      </c>
      <c r="F7" s="38">
        <f t="shared" si="3"/>
        <v>0</v>
      </c>
      <c r="G7" s="39" t="str">
        <f t="shared" si="4"/>
        <v>Lotus Super Seven Rush</v>
      </c>
      <c r="H7" s="38">
        <f t="shared" si="5"/>
        <v>0</v>
      </c>
      <c r="I7" s="137">
        <f t="shared" si="6"/>
        <v>0</v>
      </c>
      <c r="J7" s="69">
        <v>0.0007905092592592594</v>
      </c>
      <c r="K7" s="70" t="s">
        <v>47</v>
      </c>
      <c r="L7" s="42">
        <f t="shared" si="7"/>
        <v>5.7875E-05</v>
      </c>
      <c r="M7" s="42">
        <f t="shared" si="8"/>
        <v>0.0008483842592592593</v>
      </c>
      <c r="N7" s="89">
        <f t="shared" si="9"/>
        <v>0.0008483842592592593</v>
      </c>
      <c r="O7" s="73">
        <v>0.03125</v>
      </c>
      <c r="P7" s="74"/>
      <c r="Q7" s="42">
        <f t="shared" si="10"/>
        <v>0</v>
      </c>
      <c r="R7" s="42">
        <f t="shared" si="11"/>
        <v>0.03125</v>
      </c>
      <c r="S7" s="85">
        <f t="shared" si="12"/>
        <v>0.03125</v>
      </c>
      <c r="T7" s="82">
        <f t="shared" si="13"/>
        <v>0.0008483842592592593</v>
      </c>
      <c r="U7" s="86">
        <f t="shared" si="14"/>
        <v>0.0008483842592592593</v>
      </c>
      <c r="V7" s="84">
        <f t="shared" si="15"/>
        <v>11</v>
      </c>
      <c r="W7" s="139">
        <f t="shared" si="16"/>
        <v>11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B</v>
      </c>
      <c r="C8" s="57">
        <v>700</v>
      </c>
      <c r="D8" s="36">
        <f t="shared" si="1"/>
        <v>14271</v>
      </c>
      <c r="E8" s="37" t="str">
        <f t="shared" si="2"/>
        <v>Mohr, Mathias</v>
      </c>
      <c r="F8" s="38" t="str">
        <f t="shared" si="3"/>
        <v>Chaosteam</v>
      </c>
      <c r="G8" s="39" t="str">
        <f t="shared" si="4"/>
        <v>Austin Mini 16 V</v>
      </c>
      <c r="H8" s="38">
        <f t="shared" si="5"/>
        <v>0</v>
      </c>
      <c r="I8" s="137">
        <f t="shared" si="6"/>
        <v>0</v>
      </c>
      <c r="J8" s="69">
        <v>0.0006803240740740741</v>
      </c>
      <c r="K8" s="70" t="s">
        <v>274</v>
      </c>
      <c r="L8" s="42">
        <f t="shared" si="7"/>
        <v>0.000173625</v>
      </c>
      <c r="M8" s="42">
        <f t="shared" si="8"/>
        <v>0.000853949074074074</v>
      </c>
      <c r="N8" s="89">
        <f t="shared" si="9"/>
        <v>0.000853949074074074</v>
      </c>
      <c r="O8" s="73">
        <v>0.0006664351851851852</v>
      </c>
      <c r="P8" s="74">
        <v>20</v>
      </c>
      <c r="Q8" s="42">
        <f t="shared" si="10"/>
        <v>0.0002315</v>
      </c>
      <c r="R8" s="42">
        <f t="shared" si="11"/>
        <v>0.0008979351851851852</v>
      </c>
      <c r="S8" s="85">
        <f t="shared" si="12"/>
        <v>0.0008979351851851852</v>
      </c>
      <c r="T8" s="82">
        <f t="shared" si="13"/>
        <v>0.000853949074074074</v>
      </c>
      <c r="U8" s="86">
        <f t="shared" si="14"/>
        <v>0.000853949074074074</v>
      </c>
      <c r="V8" s="84">
        <f t="shared" si="15"/>
        <v>7</v>
      </c>
      <c r="W8" s="139">
        <f t="shared" si="16"/>
        <v>7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E</v>
      </c>
      <c r="C9" s="57">
        <v>799</v>
      </c>
      <c r="D9" s="36">
        <f t="shared" si="1"/>
        <v>0</v>
      </c>
      <c r="E9" s="37" t="str">
        <f t="shared" si="2"/>
        <v>Wolf, Kevin</v>
      </c>
      <c r="F9" s="38">
        <f t="shared" si="3"/>
        <v>0</v>
      </c>
      <c r="G9" s="39" t="str">
        <f t="shared" si="4"/>
        <v>BMW E30 V8</v>
      </c>
      <c r="H9" s="38">
        <f t="shared" si="5"/>
        <v>1</v>
      </c>
      <c r="I9" s="137">
        <f t="shared" si="6"/>
        <v>0</v>
      </c>
      <c r="J9" s="69">
        <v>0.0008554398148148148</v>
      </c>
      <c r="K9" s="70"/>
      <c r="L9" s="42">
        <f t="shared" si="7"/>
        <v>0</v>
      </c>
      <c r="M9" s="42">
        <f t="shared" si="8"/>
        <v>0.0008554398148148148</v>
      </c>
      <c r="N9" s="89">
        <f t="shared" si="9"/>
        <v>0.0008554398148148148</v>
      </c>
      <c r="O9" s="73">
        <v>0.0007975694444444445</v>
      </c>
      <c r="P9" s="74">
        <v>5</v>
      </c>
      <c r="Q9" s="42">
        <f t="shared" si="10"/>
        <v>5.7875E-05</v>
      </c>
      <c r="R9" s="42">
        <f t="shared" si="11"/>
        <v>0.0008554444444444445</v>
      </c>
      <c r="S9" s="85">
        <f t="shared" si="12"/>
        <v>0.0008554444444444445</v>
      </c>
      <c r="T9" s="82">
        <f t="shared" si="13"/>
        <v>0.0008554398148148148</v>
      </c>
      <c r="U9" s="86">
        <f t="shared" si="14"/>
        <v>0.0008554398148148148</v>
      </c>
      <c r="V9" s="84">
        <f t="shared" si="15"/>
        <v>3</v>
      </c>
      <c r="W9" s="139">
        <f t="shared" si="16"/>
        <v>3</v>
      </c>
      <c r="X9" s="1"/>
    </row>
    <row r="10" spans="1:24" s="33" customFormat="1" ht="15" customHeight="1">
      <c r="A10" s="45">
        <f t="shared" si="17"/>
      </c>
      <c r="B10" s="40">
        <f t="shared" si="0"/>
      </c>
      <c r="C10" s="57"/>
      <c r="D10" s="36">
        <f t="shared" si="1"/>
      </c>
      <c r="E10" s="37">
        <f t="shared" si="2"/>
      </c>
      <c r="F10" s="38">
        <f t="shared" si="3"/>
      </c>
      <c r="G10" s="39">
        <f t="shared" si="4"/>
      </c>
      <c r="H10" s="38">
        <f t="shared" si="5"/>
      </c>
      <c r="I10" s="137">
        <f t="shared" si="6"/>
      </c>
      <c r="J10" s="69"/>
      <c r="K10" s="70"/>
      <c r="L10" s="42">
        <f t="shared" si="7"/>
        <v>0</v>
      </c>
      <c r="M10" s="42">
        <f t="shared" si="8"/>
        <v>0</v>
      </c>
      <c r="N10" s="89">
        <f t="shared" si="9"/>
      </c>
      <c r="O10" s="73"/>
      <c r="P10" s="74"/>
      <c r="Q10" s="42">
        <f t="shared" si="10"/>
        <v>0</v>
      </c>
      <c r="R10" s="42">
        <f t="shared" si="11"/>
        <v>0</v>
      </c>
      <c r="S10" s="85">
        <f t="shared" si="12"/>
      </c>
      <c r="T10" s="82">
        <f t="shared" si="13"/>
        <v>0</v>
      </c>
      <c r="U10" s="86">
        <f t="shared" si="14"/>
      </c>
      <c r="V10" s="84" t="e">
        <f t="shared" si="15"/>
        <v>#VALUE!</v>
      </c>
      <c r="W10" s="139">
        <f t="shared" si="16"/>
      </c>
      <c r="X10" s="1"/>
    </row>
    <row r="11" spans="1:24" s="33" customFormat="1" ht="15" customHeight="1">
      <c r="A11" s="45">
        <f t="shared" si="17"/>
      </c>
      <c r="B11" s="40">
        <f t="shared" si="0"/>
      </c>
      <c r="C11" s="57"/>
      <c r="D11" s="36">
        <f t="shared" si="1"/>
      </c>
      <c r="E11" s="37">
        <f t="shared" si="2"/>
      </c>
      <c r="F11" s="38">
        <f t="shared" si="3"/>
      </c>
      <c r="G11" s="39">
        <f t="shared" si="4"/>
      </c>
      <c r="H11" s="38">
        <f t="shared" si="5"/>
      </c>
      <c r="I11" s="137">
        <f t="shared" si="6"/>
      </c>
      <c r="J11" s="69"/>
      <c r="K11" s="70"/>
      <c r="L11" s="42">
        <f t="shared" si="7"/>
        <v>0</v>
      </c>
      <c r="M11" s="42">
        <f t="shared" si="8"/>
        <v>0</v>
      </c>
      <c r="N11" s="89">
        <f t="shared" si="9"/>
      </c>
      <c r="O11" s="73"/>
      <c r="P11" s="74"/>
      <c r="Q11" s="42">
        <f t="shared" si="10"/>
        <v>0</v>
      </c>
      <c r="R11" s="42">
        <f t="shared" si="11"/>
        <v>0</v>
      </c>
      <c r="S11" s="85">
        <f t="shared" si="12"/>
      </c>
      <c r="T11" s="82">
        <f t="shared" si="13"/>
        <v>0</v>
      </c>
      <c r="U11" s="86">
        <f t="shared" si="14"/>
      </c>
      <c r="V11" s="84" t="e">
        <f t="shared" si="15"/>
        <v>#VALUE!</v>
      </c>
      <c r="W11" s="139">
        <f t="shared" si="16"/>
      </c>
      <c r="X11" s="1"/>
    </row>
    <row r="12" spans="1:24" s="33" customFormat="1" ht="15" customHeight="1">
      <c r="A12" s="45">
        <f t="shared" si="17"/>
      </c>
      <c r="B12" s="40">
        <f t="shared" si="0"/>
      </c>
      <c r="C12" s="57"/>
      <c r="D12" s="36">
        <f t="shared" si="1"/>
      </c>
      <c r="E12" s="37">
        <f t="shared" si="2"/>
      </c>
      <c r="F12" s="38">
        <f t="shared" si="3"/>
      </c>
      <c r="G12" s="39">
        <f t="shared" si="4"/>
      </c>
      <c r="H12" s="38">
        <f t="shared" si="5"/>
      </c>
      <c r="I12" s="137">
        <f t="shared" si="6"/>
      </c>
      <c r="J12" s="141"/>
      <c r="K12" s="70"/>
      <c r="L12" s="42">
        <f t="shared" si="7"/>
        <v>0</v>
      </c>
      <c r="M12" s="42">
        <f t="shared" si="8"/>
        <v>0</v>
      </c>
      <c r="N12" s="89">
        <f t="shared" si="9"/>
      </c>
      <c r="O12" s="73"/>
      <c r="P12" s="74"/>
      <c r="Q12" s="42">
        <f t="shared" si="10"/>
        <v>0</v>
      </c>
      <c r="R12" s="42">
        <f t="shared" si="11"/>
        <v>0</v>
      </c>
      <c r="S12" s="85">
        <f t="shared" si="12"/>
      </c>
      <c r="T12" s="82">
        <f t="shared" si="13"/>
        <v>0</v>
      </c>
      <c r="U12" s="86">
        <f t="shared" si="14"/>
      </c>
      <c r="V12" s="84" t="e">
        <f t="shared" si="15"/>
        <v>#VALUE!</v>
      </c>
      <c r="W12" s="139">
        <f t="shared" si="16"/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8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56</v>
      </c>
      <c r="B2" s="50"/>
      <c r="C2" s="60"/>
      <c r="D2" s="50">
        <f>MAX(A5:A34)</f>
        <v>0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</c>
      <c r="B5" s="35">
        <f aca="true" t="shared" si="0" ref="B5:B34">IF(ISBLANK(C5),"",IF(A5&lt;=Gold_15,Goldplakette,IF(A5&lt;=Silber_15,Silberplakette,IF(A5&lt;=Bronze_15,Bronzeplakette,Erinnerung))))</f>
      </c>
      <c r="C5" s="56"/>
      <c r="D5" s="36">
        <f aca="true" t="shared" si="1" ref="D5:D34">IF(ISBLANK(C5),"",VLOOKUP(C5,Starter_Feld,2,FALSE))</f>
      </c>
      <c r="E5" s="37">
        <f aca="true" t="shared" si="2" ref="E5:E34">IF(ISBLANK(C5),"",VLOOKUP(C5,Starter_Feld,3,FALSE))</f>
      </c>
      <c r="F5" s="38">
        <f aca="true" t="shared" si="3" ref="F5:F34">IF(ISBLANK(C5),"",VLOOKUP(C5,Starter_Feld,4,FALSE))</f>
      </c>
      <c r="G5" s="39">
        <f aca="true" t="shared" si="4" ref="G5:G34">IF(ISBLANK(C5),"",VLOOKUP(C5,Starter_Feld,5,FALSE))</f>
      </c>
      <c r="H5" s="38">
        <f aca="true" t="shared" si="5" ref="H5:H34">IF(ISBLANK(C5),"",VLOOKUP(C5,Starter_Feld,7,FALSE))</f>
      </c>
      <c r="I5" s="136">
        <f aca="true" t="shared" si="6" ref="I5:I34">IF(ISBLANK(C5),"",VLOOKUP(C5,Starter_Feld,8,FALSE))</f>
      </c>
      <c r="J5" s="67"/>
      <c r="K5" s="68"/>
      <c r="L5" s="41">
        <f aca="true" t="shared" si="7" ref="L5:L34">SUM(0.000011575*K5)</f>
        <v>0</v>
      </c>
      <c r="M5" s="41">
        <f aca="true" t="shared" si="8" ref="M5:M34">SUM(J5,L5)</f>
        <v>0</v>
      </c>
      <c r="N5" s="88">
        <f aca="true" t="shared" si="9" ref="N5:N34">IF(J5&lt;&gt;0,M5,"")</f>
      </c>
      <c r="O5" s="71"/>
      <c r="P5" s="72"/>
      <c r="Q5" s="41">
        <f aca="true" t="shared" si="10" ref="Q5:Q34">SUM(0.000011575*P5)</f>
        <v>0</v>
      </c>
      <c r="R5" s="41">
        <f aca="true" t="shared" si="11" ref="R5:R34">SUM(O5,Q5)</f>
        <v>0</v>
      </c>
      <c r="S5" s="81">
        <f aca="true" t="shared" si="12" ref="S5:S34">IF(O5&lt;&gt;0,R5,"")</f>
      </c>
      <c r="T5" s="82">
        <f aca="true" t="shared" si="13" ref="T5:T34">MIN(N5,S5)</f>
        <v>0</v>
      </c>
      <c r="U5" s="83">
        <f aca="true" t="shared" si="14" ref="U5:U34">IF(O5=0,"",T5)</f>
      </c>
      <c r="V5" s="84" t="e">
        <f aca="true" t="shared" si="15" ref="V5:V34">23-(20*(A5))/D$2</f>
        <v>#VALUE!</v>
      </c>
      <c r="W5" s="138">
        <f aca="true" t="shared" si="16" ref="W5:W34">IF(O5=0,"",V5)</f>
      </c>
      <c r="X5" s="1"/>
    </row>
    <row r="6" spans="1:24" s="33" customFormat="1" ht="15" customHeight="1">
      <c r="A6" s="45">
        <f aca="true" t="shared" si="17" ref="A6:A33">IF(ISBLANK(C6),"",A5+1)</f>
      </c>
      <c r="B6" s="40">
        <f t="shared" si="0"/>
      </c>
      <c r="C6" s="57"/>
      <c r="D6" s="36">
        <f t="shared" si="1"/>
      </c>
      <c r="E6" s="37">
        <f t="shared" si="2"/>
      </c>
      <c r="F6" s="38">
        <f t="shared" si="3"/>
      </c>
      <c r="G6" s="39">
        <f t="shared" si="4"/>
      </c>
      <c r="H6" s="38">
        <f t="shared" si="5"/>
      </c>
      <c r="I6" s="137">
        <f t="shared" si="6"/>
      </c>
      <c r="J6" s="69"/>
      <c r="K6" s="70"/>
      <c r="L6" s="42">
        <f t="shared" si="7"/>
        <v>0</v>
      </c>
      <c r="M6" s="42">
        <f t="shared" si="8"/>
        <v>0</v>
      </c>
      <c r="N6" s="89">
        <f t="shared" si="9"/>
      </c>
      <c r="O6" s="73"/>
      <c r="P6" s="74"/>
      <c r="Q6" s="42">
        <f t="shared" si="10"/>
        <v>0</v>
      </c>
      <c r="R6" s="42">
        <f t="shared" si="11"/>
        <v>0</v>
      </c>
      <c r="S6" s="85">
        <f t="shared" si="12"/>
      </c>
      <c r="T6" s="82">
        <f t="shared" si="13"/>
        <v>0</v>
      </c>
      <c r="U6" s="86">
        <f t="shared" si="14"/>
      </c>
      <c r="V6" s="84" t="e">
        <f t="shared" si="15"/>
        <v>#VALUE!</v>
      </c>
      <c r="W6" s="139">
        <f t="shared" si="16"/>
      </c>
      <c r="X6" s="1"/>
    </row>
    <row r="7" spans="1:24" s="33" customFormat="1" ht="15" customHeight="1">
      <c r="A7" s="45">
        <f t="shared" si="17"/>
      </c>
      <c r="B7" s="40">
        <f t="shared" si="0"/>
      </c>
      <c r="C7" s="57"/>
      <c r="D7" s="36">
        <f t="shared" si="1"/>
      </c>
      <c r="E7" s="37">
        <f t="shared" si="2"/>
      </c>
      <c r="F7" s="38">
        <f t="shared" si="3"/>
      </c>
      <c r="G7" s="39">
        <f t="shared" si="4"/>
      </c>
      <c r="H7" s="38">
        <f t="shared" si="5"/>
      </c>
      <c r="I7" s="137">
        <f t="shared" si="6"/>
      </c>
      <c r="J7" s="69"/>
      <c r="K7" s="70"/>
      <c r="L7" s="42">
        <f t="shared" si="7"/>
        <v>0</v>
      </c>
      <c r="M7" s="42">
        <f t="shared" si="8"/>
        <v>0</v>
      </c>
      <c r="N7" s="89">
        <f t="shared" si="9"/>
      </c>
      <c r="O7" s="73"/>
      <c r="P7" s="74"/>
      <c r="Q7" s="42">
        <f t="shared" si="10"/>
        <v>0</v>
      </c>
      <c r="R7" s="42">
        <f t="shared" si="11"/>
        <v>0</v>
      </c>
      <c r="S7" s="85">
        <f t="shared" si="12"/>
      </c>
      <c r="T7" s="82">
        <f t="shared" si="13"/>
        <v>0</v>
      </c>
      <c r="U7" s="86">
        <f t="shared" si="14"/>
      </c>
      <c r="V7" s="84" t="e">
        <f t="shared" si="15"/>
        <v>#VALUE!</v>
      </c>
      <c r="W7" s="139">
        <f t="shared" si="16"/>
      </c>
      <c r="X7" s="1"/>
    </row>
    <row r="8" spans="1:24" s="33" customFormat="1" ht="15" customHeight="1">
      <c r="A8" s="45">
        <f t="shared" si="17"/>
      </c>
      <c r="B8" s="40">
        <f t="shared" si="0"/>
      </c>
      <c r="C8" s="57"/>
      <c r="D8" s="36">
        <f t="shared" si="1"/>
      </c>
      <c r="E8" s="37">
        <f t="shared" si="2"/>
      </c>
      <c r="F8" s="38">
        <f t="shared" si="3"/>
      </c>
      <c r="G8" s="39">
        <f t="shared" si="4"/>
      </c>
      <c r="H8" s="38">
        <f t="shared" si="5"/>
      </c>
      <c r="I8" s="137">
        <f t="shared" si="6"/>
      </c>
      <c r="J8" s="69"/>
      <c r="K8" s="70"/>
      <c r="L8" s="42">
        <f t="shared" si="7"/>
        <v>0</v>
      </c>
      <c r="M8" s="42">
        <f t="shared" si="8"/>
        <v>0</v>
      </c>
      <c r="N8" s="89">
        <f t="shared" si="9"/>
      </c>
      <c r="O8" s="73"/>
      <c r="P8" s="74"/>
      <c r="Q8" s="42">
        <f t="shared" si="10"/>
        <v>0</v>
      </c>
      <c r="R8" s="42">
        <f t="shared" si="11"/>
        <v>0</v>
      </c>
      <c r="S8" s="85">
        <f t="shared" si="12"/>
      </c>
      <c r="T8" s="82">
        <f t="shared" si="13"/>
        <v>0</v>
      </c>
      <c r="U8" s="86">
        <f t="shared" si="14"/>
      </c>
      <c r="V8" s="84" t="e">
        <f t="shared" si="15"/>
        <v>#VALUE!</v>
      </c>
      <c r="W8" s="139">
        <f t="shared" si="16"/>
      </c>
      <c r="X8" s="1"/>
    </row>
    <row r="9" spans="1:24" s="33" customFormat="1" ht="15" customHeight="1">
      <c r="A9" s="45">
        <f t="shared" si="17"/>
      </c>
      <c r="B9" s="40">
        <f t="shared" si="0"/>
      </c>
      <c r="C9" s="57"/>
      <c r="D9" s="36">
        <f t="shared" si="1"/>
      </c>
      <c r="E9" s="37">
        <f t="shared" si="2"/>
      </c>
      <c r="F9" s="38">
        <f t="shared" si="3"/>
      </c>
      <c r="G9" s="39">
        <f t="shared" si="4"/>
      </c>
      <c r="H9" s="38">
        <f t="shared" si="5"/>
      </c>
      <c r="I9" s="137">
        <f t="shared" si="6"/>
      </c>
      <c r="J9" s="69"/>
      <c r="K9" s="70"/>
      <c r="L9" s="42">
        <f t="shared" si="7"/>
        <v>0</v>
      </c>
      <c r="M9" s="42">
        <f t="shared" si="8"/>
        <v>0</v>
      </c>
      <c r="N9" s="89">
        <f t="shared" si="9"/>
      </c>
      <c r="O9" s="73"/>
      <c r="P9" s="74"/>
      <c r="Q9" s="42">
        <f t="shared" si="10"/>
        <v>0</v>
      </c>
      <c r="R9" s="42">
        <f t="shared" si="11"/>
        <v>0</v>
      </c>
      <c r="S9" s="85">
        <f t="shared" si="12"/>
      </c>
      <c r="T9" s="82">
        <f t="shared" si="13"/>
        <v>0</v>
      </c>
      <c r="U9" s="86">
        <f t="shared" si="14"/>
      </c>
      <c r="V9" s="84" t="e">
        <f t="shared" si="15"/>
        <v>#VALUE!</v>
      </c>
      <c r="W9" s="139">
        <f t="shared" si="16"/>
      </c>
      <c r="X9" s="1"/>
    </row>
    <row r="10" spans="1:24" s="33" customFormat="1" ht="15" customHeight="1">
      <c r="A10" s="45">
        <f t="shared" si="17"/>
      </c>
      <c r="B10" s="40">
        <f t="shared" si="0"/>
      </c>
      <c r="C10" s="57"/>
      <c r="D10" s="36">
        <f t="shared" si="1"/>
      </c>
      <c r="E10" s="37">
        <f t="shared" si="2"/>
      </c>
      <c r="F10" s="38">
        <f t="shared" si="3"/>
      </c>
      <c r="G10" s="39">
        <f t="shared" si="4"/>
      </c>
      <c r="H10" s="38">
        <f t="shared" si="5"/>
      </c>
      <c r="I10" s="137">
        <f t="shared" si="6"/>
      </c>
      <c r="J10" s="69"/>
      <c r="K10" s="70"/>
      <c r="L10" s="42">
        <f t="shared" si="7"/>
        <v>0</v>
      </c>
      <c r="M10" s="42">
        <f t="shared" si="8"/>
        <v>0</v>
      </c>
      <c r="N10" s="89">
        <f t="shared" si="9"/>
      </c>
      <c r="O10" s="73"/>
      <c r="P10" s="74"/>
      <c r="Q10" s="42">
        <f t="shared" si="10"/>
        <v>0</v>
      </c>
      <c r="R10" s="42">
        <f t="shared" si="11"/>
        <v>0</v>
      </c>
      <c r="S10" s="85">
        <f t="shared" si="12"/>
      </c>
      <c r="T10" s="82">
        <f t="shared" si="13"/>
        <v>0</v>
      </c>
      <c r="U10" s="86">
        <f t="shared" si="14"/>
      </c>
      <c r="V10" s="84" t="e">
        <f t="shared" si="15"/>
        <v>#VALUE!</v>
      </c>
      <c r="W10" s="139">
        <f t="shared" si="16"/>
      </c>
      <c r="X10" s="1"/>
    </row>
    <row r="11" spans="1:24" s="33" customFormat="1" ht="15" customHeight="1">
      <c r="A11" s="45">
        <f t="shared" si="17"/>
      </c>
      <c r="B11" s="40">
        <f t="shared" si="0"/>
      </c>
      <c r="C11" s="57"/>
      <c r="D11" s="36">
        <f t="shared" si="1"/>
      </c>
      <c r="E11" s="37">
        <f t="shared" si="2"/>
      </c>
      <c r="F11" s="38">
        <f t="shared" si="3"/>
      </c>
      <c r="G11" s="39">
        <f t="shared" si="4"/>
      </c>
      <c r="H11" s="38">
        <f t="shared" si="5"/>
      </c>
      <c r="I11" s="137">
        <f t="shared" si="6"/>
      </c>
      <c r="J11" s="69"/>
      <c r="K11" s="70"/>
      <c r="L11" s="42">
        <f t="shared" si="7"/>
        <v>0</v>
      </c>
      <c r="M11" s="42">
        <f t="shared" si="8"/>
        <v>0</v>
      </c>
      <c r="N11" s="89">
        <f t="shared" si="9"/>
      </c>
      <c r="O11" s="73"/>
      <c r="P11" s="74"/>
      <c r="Q11" s="42">
        <f t="shared" si="10"/>
        <v>0</v>
      </c>
      <c r="R11" s="42">
        <f t="shared" si="11"/>
        <v>0</v>
      </c>
      <c r="S11" s="85">
        <f t="shared" si="12"/>
      </c>
      <c r="T11" s="82">
        <f t="shared" si="13"/>
        <v>0</v>
      </c>
      <c r="U11" s="86">
        <f t="shared" si="14"/>
      </c>
      <c r="V11" s="84" t="e">
        <f t="shared" si="15"/>
        <v>#VALUE!</v>
      </c>
      <c r="W11" s="139">
        <f t="shared" si="16"/>
      </c>
      <c r="X11" s="1"/>
    </row>
    <row r="12" spans="1:24" s="33" customFormat="1" ht="15" customHeight="1">
      <c r="A12" s="45">
        <f t="shared" si="17"/>
      </c>
      <c r="B12" s="40">
        <f t="shared" si="0"/>
      </c>
      <c r="C12" s="57"/>
      <c r="D12" s="36">
        <f t="shared" si="1"/>
      </c>
      <c r="E12" s="37">
        <f t="shared" si="2"/>
      </c>
      <c r="F12" s="38">
        <f t="shared" si="3"/>
      </c>
      <c r="G12" s="39">
        <f t="shared" si="4"/>
      </c>
      <c r="H12" s="38">
        <f t="shared" si="5"/>
      </c>
      <c r="I12" s="137">
        <f t="shared" si="6"/>
      </c>
      <c r="J12" s="141"/>
      <c r="K12" s="70"/>
      <c r="L12" s="42">
        <f t="shared" si="7"/>
        <v>0</v>
      </c>
      <c r="M12" s="42">
        <f t="shared" si="8"/>
        <v>0</v>
      </c>
      <c r="N12" s="89">
        <f t="shared" si="9"/>
      </c>
      <c r="O12" s="73"/>
      <c r="P12" s="74"/>
      <c r="Q12" s="42">
        <f t="shared" si="10"/>
        <v>0</v>
      </c>
      <c r="R12" s="42">
        <f t="shared" si="11"/>
        <v>0</v>
      </c>
      <c r="S12" s="85">
        <f t="shared" si="12"/>
      </c>
      <c r="T12" s="82">
        <f t="shared" si="13"/>
        <v>0</v>
      </c>
      <c r="U12" s="86">
        <f t="shared" si="14"/>
      </c>
      <c r="V12" s="84" t="e">
        <f t="shared" si="15"/>
        <v>#VALUE!</v>
      </c>
      <c r="W12" s="139">
        <f t="shared" si="16"/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3"/>
  <dimension ref="A1:K10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6.28125" style="47" customWidth="1"/>
    <col min="2" max="2" width="6.421875" style="59" customWidth="1"/>
    <col min="3" max="3" width="9.7109375" style="0" customWidth="1"/>
    <col min="4" max="4" width="19.421875" style="0" customWidth="1"/>
    <col min="5" max="5" width="18.421875" style="0" customWidth="1"/>
    <col min="6" max="6" width="14.28125" style="0" customWidth="1"/>
    <col min="7" max="8" width="12.7109375" style="0" hidden="1" customWidth="1"/>
    <col min="9" max="9" width="10.7109375" style="103" customWidth="1"/>
    <col min="10" max="10" width="10.7109375" style="110" hidden="1" customWidth="1"/>
    <col min="11" max="11" width="10.7109375" style="152" hidden="1" customWidth="1"/>
    <col min="12" max="12" width="10.7109375" style="0" customWidth="1"/>
    <col min="13" max="13" width="15.421875" style="0" customWidth="1"/>
  </cols>
  <sheetData>
    <row r="1" spans="1:8" ht="15">
      <c r="A1" s="43"/>
      <c r="B1" s="58"/>
      <c r="C1" s="1"/>
      <c r="D1" s="2"/>
      <c r="E1" s="2"/>
      <c r="F1" s="2"/>
      <c r="G1" s="2"/>
      <c r="H1" s="2"/>
    </row>
    <row r="2" spans="1:9" ht="23.25">
      <c r="A2" s="49" t="s">
        <v>58</v>
      </c>
      <c r="B2" s="60"/>
      <c r="C2" s="50">
        <f>SUM(K5:K102)</f>
        <v>61</v>
      </c>
      <c r="D2" s="101" t="s">
        <v>0</v>
      </c>
      <c r="E2" s="102" t="str">
        <f>IF(ISBLANK(D2),"",VLOOKUP(D2,'Veranst.'!A:C,3,FALSE))</f>
        <v>49. Automobilslalom, MSC Jura 9.7.2016</v>
      </c>
      <c r="F2" s="99"/>
      <c r="G2" s="99"/>
      <c r="H2" s="99"/>
      <c r="I2" s="104"/>
    </row>
    <row r="3" spans="1:8" ht="15.75" thickBot="1">
      <c r="A3" s="43"/>
      <c r="B3" s="58"/>
      <c r="C3" s="1"/>
      <c r="D3" s="2"/>
      <c r="E3" s="2"/>
      <c r="F3" s="2"/>
      <c r="G3" s="2"/>
      <c r="H3" s="2"/>
    </row>
    <row r="4" spans="1:11" s="34" customFormat="1" ht="15" thickBot="1">
      <c r="A4" s="100" t="s">
        <v>1</v>
      </c>
      <c r="B4" s="61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55" t="s">
        <v>62</v>
      </c>
      <c r="H4" s="55" t="s">
        <v>66</v>
      </c>
      <c r="I4" s="108" t="s">
        <v>33</v>
      </c>
      <c r="J4" s="109" t="s">
        <v>61</v>
      </c>
      <c r="K4" s="153"/>
    </row>
    <row r="5" spans="1:11" s="33" customFormat="1" ht="15" customHeight="1">
      <c r="A5" s="112">
        <f>IF(ISBLANK(B5),"",1)</f>
        <v>1</v>
      </c>
      <c r="B5" s="56">
        <v>212</v>
      </c>
      <c r="C5" s="36">
        <f aca="true" t="shared" si="0" ref="C5:C36">IF(ISBLANK(B5),"",VLOOKUP(B5,Starter_Feld,2,FALSE))</f>
        <v>12864</v>
      </c>
      <c r="D5" s="37" t="str">
        <f aca="true" t="shared" si="1" ref="D5:D36">IF(ISBLANK(B5),"",VLOOKUP(B5,Starter_Feld,3,FALSE))</f>
        <v>Enderlein, Tobias</v>
      </c>
      <c r="E5" s="38" t="str">
        <f aca="true" t="shared" si="2" ref="E5:E36">IF(ISBLANK(B5),"",VLOOKUP(B5,Starter_Feld,4,FALSE))</f>
        <v>MSC Jura</v>
      </c>
      <c r="F5" s="39" t="str">
        <f aca="true" t="shared" si="3" ref="F5:F36">IF(ISBLANK(B5),"",VLOOKUP(B5,Starter_Feld,5,FALSE))</f>
        <v>Opel Kadett C </v>
      </c>
      <c r="G5" s="38">
        <f aca="true" t="shared" si="4" ref="G5:G36">IF(ISBLANK(B5),"",VLOOKUP(B5,Starter_Feld,7,FALSE))</f>
        <v>0</v>
      </c>
      <c r="H5" s="38">
        <f aca="true" t="shared" si="5" ref="H5:H36">IF(ISBLANK(B5),"",VLOOKUP(B5,Starter_Feld,8,FALSE))</f>
        <v>0</v>
      </c>
      <c r="I5" s="105">
        <v>0.0006908564814814815</v>
      </c>
      <c r="J5" s="116"/>
      <c r="K5" s="154">
        <f aca="true" t="shared" si="6" ref="K5:K50">IF(ISBLANK(B5),"",1)</f>
        <v>1</v>
      </c>
    </row>
    <row r="6" spans="1:11" s="33" customFormat="1" ht="15" customHeight="1">
      <c r="A6" s="113">
        <f aca="true" t="shared" si="7" ref="A6:A50">IF(ISBLANK(B6),"",A5+1)</f>
        <v>2</v>
      </c>
      <c r="B6" s="57">
        <v>84</v>
      </c>
      <c r="C6" s="36">
        <f t="shared" si="0"/>
        <v>14551</v>
      </c>
      <c r="D6" s="37" t="str">
        <f t="shared" si="1"/>
        <v>Hecht, Heiko</v>
      </c>
      <c r="E6" s="38" t="str">
        <f t="shared" si="2"/>
        <v>GP-Power</v>
      </c>
      <c r="F6" s="39" t="str">
        <f t="shared" si="3"/>
        <v>BMW 318is</v>
      </c>
      <c r="G6" s="38">
        <f t="shared" si="4"/>
        <v>0</v>
      </c>
      <c r="H6" s="38">
        <f t="shared" si="5"/>
        <v>0</v>
      </c>
      <c r="I6" s="105">
        <v>0.0007016203703703704</v>
      </c>
      <c r="J6" s="117"/>
      <c r="K6" s="154">
        <f t="shared" si="6"/>
        <v>1</v>
      </c>
    </row>
    <row r="7" spans="1:11" s="33" customFormat="1" ht="15" customHeight="1">
      <c r="A7" s="113">
        <f t="shared" si="7"/>
        <v>3</v>
      </c>
      <c r="B7" s="57">
        <v>50</v>
      </c>
      <c r="C7" s="36">
        <f t="shared" si="0"/>
        <v>20031</v>
      </c>
      <c r="D7" s="37" t="str">
        <f t="shared" si="1"/>
        <v>Beck, Werner</v>
      </c>
      <c r="E7" s="38" t="str">
        <f t="shared" si="2"/>
        <v>MSC Bechhofen</v>
      </c>
      <c r="F7" s="39" t="str">
        <f t="shared" si="3"/>
        <v>VW Golf R</v>
      </c>
      <c r="G7" s="38">
        <f t="shared" si="4"/>
        <v>0</v>
      </c>
      <c r="H7" s="38">
        <f t="shared" si="5"/>
        <v>0</v>
      </c>
      <c r="I7" s="105">
        <v>0.0007096064814814815</v>
      </c>
      <c r="J7" s="117"/>
      <c r="K7" s="154">
        <f t="shared" si="6"/>
        <v>1</v>
      </c>
    </row>
    <row r="8" spans="1:11" s="33" customFormat="1" ht="15" customHeight="1">
      <c r="A8" s="113">
        <f t="shared" si="7"/>
        <v>4</v>
      </c>
      <c r="B8" s="57">
        <v>150</v>
      </c>
      <c r="C8" s="36">
        <f t="shared" si="0"/>
        <v>15086</v>
      </c>
      <c r="D8" s="37" t="str">
        <f t="shared" si="1"/>
        <v>Nölp, Sebastian</v>
      </c>
      <c r="E8" s="38" t="str">
        <f t="shared" si="2"/>
        <v>ASC Ansbach</v>
      </c>
      <c r="F8" s="39" t="str">
        <f t="shared" si="3"/>
        <v>Audi RS 3</v>
      </c>
      <c r="G8" s="38">
        <f t="shared" si="4"/>
        <v>0</v>
      </c>
      <c r="H8" s="38">
        <f t="shared" si="5"/>
        <v>0</v>
      </c>
      <c r="I8" s="105">
        <v>0.0007097222222222223</v>
      </c>
      <c r="J8" s="117"/>
      <c r="K8" s="154">
        <f t="shared" si="6"/>
        <v>1</v>
      </c>
    </row>
    <row r="9" spans="1:11" s="33" customFormat="1" ht="15" customHeight="1">
      <c r="A9" s="113">
        <f t="shared" si="7"/>
        <v>5</v>
      </c>
      <c r="B9" s="57">
        <v>214</v>
      </c>
      <c r="C9" s="36">
        <f t="shared" si="0"/>
        <v>15034</v>
      </c>
      <c r="D9" s="37" t="str">
        <f t="shared" si="1"/>
        <v>Bittner, Matthias</v>
      </c>
      <c r="E9" s="38" t="str">
        <f t="shared" si="2"/>
        <v>MSC Jura</v>
      </c>
      <c r="F9" s="39" t="str">
        <f t="shared" si="3"/>
        <v>Opel Kadett C </v>
      </c>
      <c r="G9" s="38">
        <f t="shared" si="4"/>
        <v>0</v>
      </c>
      <c r="H9" s="38">
        <f t="shared" si="5"/>
        <v>0</v>
      </c>
      <c r="I9" s="105">
        <v>0.0007146990740740741</v>
      </c>
      <c r="J9" s="117"/>
      <c r="K9" s="154">
        <f t="shared" si="6"/>
        <v>1</v>
      </c>
    </row>
    <row r="10" spans="1:11" s="33" customFormat="1" ht="15" customHeight="1">
      <c r="A10" s="113">
        <f t="shared" si="7"/>
        <v>6</v>
      </c>
      <c r="B10" s="57">
        <v>49</v>
      </c>
      <c r="C10" s="36">
        <f t="shared" si="0"/>
        <v>13940</v>
      </c>
      <c r="D10" s="37" t="str">
        <f t="shared" si="1"/>
        <v>Hoffmann, Rainer</v>
      </c>
      <c r="E10" s="38" t="str">
        <f t="shared" si="2"/>
        <v>ASC Ansbach</v>
      </c>
      <c r="F10" s="39" t="str">
        <f t="shared" si="3"/>
        <v>BMW 318 is</v>
      </c>
      <c r="G10" s="38">
        <f t="shared" si="4"/>
        <v>0</v>
      </c>
      <c r="H10" s="38">
        <f t="shared" si="5"/>
        <v>0</v>
      </c>
      <c r="I10" s="105">
        <v>0.0007266203703703704</v>
      </c>
      <c r="J10" s="117"/>
      <c r="K10" s="154">
        <f t="shared" si="6"/>
        <v>1</v>
      </c>
    </row>
    <row r="11" spans="1:11" s="33" customFormat="1" ht="15" customHeight="1">
      <c r="A11" s="113">
        <f t="shared" si="7"/>
        <v>7</v>
      </c>
      <c r="B11" s="57">
        <v>249</v>
      </c>
      <c r="C11" s="36">
        <f t="shared" si="0"/>
        <v>15179</v>
      </c>
      <c r="D11" s="37" t="str">
        <f t="shared" si="1"/>
        <v>Hoffmann, Philipp</v>
      </c>
      <c r="E11" s="38" t="str">
        <f t="shared" si="2"/>
        <v>ASC Ansbach</v>
      </c>
      <c r="F11" s="39" t="str">
        <f t="shared" si="3"/>
        <v>BMW 318 is</v>
      </c>
      <c r="G11" s="38">
        <f t="shared" si="4"/>
        <v>0</v>
      </c>
      <c r="H11" s="38">
        <f t="shared" si="5"/>
        <v>0</v>
      </c>
      <c r="I11" s="105">
        <v>0.0007273148148148148</v>
      </c>
      <c r="J11" s="117"/>
      <c r="K11" s="154">
        <f t="shared" si="6"/>
        <v>1</v>
      </c>
    </row>
    <row r="12" spans="1:11" s="33" customFormat="1" ht="15" customHeight="1">
      <c r="A12" s="113">
        <f t="shared" si="7"/>
        <v>8</v>
      </c>
      <c r="B12" s="57">
        <v>90</v>
      </c>
      <c r="C12" s="36">
        <f t="shared" si="0"/>
        <v>13892</v>
      </c>
      <c r="D12" s="37" t="str">
        <f t="shared" si="1"/>
        <v>Schöne, Armin </v>
      </c>
      <c r="E12" s="38" t="str">
        <f t="shared" si="2"/>
        <v>FG Rhein- Main</v>
      </c>
      <c r="F12" s="39" t="str">
        <f t="shared" si="3"/>
        <v>Honda CRX</v>
      </c>
      <c r="G12" s="38">
        <f t="shared" si="4"/>
        <v>0</v>
      </c>
      <c r="H12" s="38">
        <f t="shared" si="5"/>
        <v>0</v>
      </c>
      <c r="I12" s="105">
        <v>0.000729050925925926</v>
      </c>
      <c r="J12" s="117"/>
      <c r="K12" s="154">
        <f t="shared" si="6"/>
        <v>1</v>
      </c>
    </row>
    <row r="13" spans="1:11" s="33" customFormat="1" ht="15" customHeight="1">
      <c r="A13" s="113">
        <f t="shared" si="7"/>
        <v>9</v>
      </c>
      <c r="B13" s="57">
        <v>133</v>
      </c>
      <c r="C13" s="36">
        <f t="shared" si="0"/>
        <v>20202</v>
      </c>
      <c r="D13" s="37" t="str">
        <f t="shared" si="1"/>
        <v>Ehrngruber, Martin</v>
      </c>
      <c r="E13" s="38" t="str">
        <f t="shared" si="2"/>
        <v>MSC Jura</v>
      </c>
      <c r="F13" s="39" t="str">
        <f t="shared" si="3"/>
        <v>VW Polo GT</v>
      </c>
      <c r="G13" s="38">
        <f t="shared" si="4"/>
        <v>0</v>
      </c>
      <c r="H13" s="38">
        <f t="shared" si="5"/>
        <v>0</v>
      </c>
      <c r="I13" s="105">
        <v>0.0007322916666666667</v>
      </c>
      <c r="J13" s="117"/>
      <c r="K13" s="154">
        <f t="shared" si="6"/>
        <v>1</v>
      </c>
    </row>
    <row r="14" spans="1:11" s="33" customFormat="1" ht="15" customHeight="1">
      <c r="A14" s="113">
        <f t="shared" si="7"/>
        <v>10</v>
      </c>
      <c r="B14" s="57">
        <v>43</v>
      </c>
      <c r="C14" s="36">
        <f t="shared" si="0"/>
        <v>13065</v>
      </c>
      <c r="D14" s="37" t="str">
        <f t="shared" si="1"/>
        <v>Winter, Thomas</v>
      </c>
      <c r="E14" s="38" t="str">
        <f t="shared" si="2"/>
        <v>MSC Jura</v>
      </c>
      <c r="F14" s="39" t="str">
        <f t="shared" si="3"/>
        <v>VW Polo GT</v>
      </c>
      <c r="G14" s="38">
        <f t="shared" si="4"/>
        <v>0</v>
      </c>
      <c r="H14" s="38">
        <f t="shared" si="5"/>
        <v>0</v>
      </c>
      <c r="I14" s="105">
        <v>0.0007395833333333333</v>
      </c>
      <c r="J14" s="117"/>
      <c r="K14" s="154">
        <f t="shared" si="6"/>
        <v>1</v>
      </c>
    </row>
    <row r="15" spans="1:11" s="33" customFormat="1" ht="15" customHeight="1">
      <c r="A15" s="113">
        <f t="shared" si="7"/>
        <v>11</v>
      </c>
      <c r="B15" s="57">
        <v>147</v>
      </c>
      <c r="C15" s="36">
        <f t="shared" si="0"/>
        <v>13610</v>
      </c>
      <c r="D15" s="37" t="str">
        <f t="shared" si="1"/>
        <v>Reihs, Patrick</v>
      </c>
      <c r="E15" s="38" t="str">
        <f t="shared" si="2"/>
        <v>MSC Bechhofen</v>
      </c>
      <c r="F15" s="39" t="str">
        <f t="shared" si="3"/>
        <v>Opel Corsa GSI</v>
      </c>
      <c r="G15" s="38">
        <f t="shared" si="4"/>
        <v>0</v>
      </c>
      <c r="H15" s="38">
        <f t="shared" si="5"/>
        <v>0</v>
      </c>
      <c r="I15" s="105">
        <v>0.0007402777777777777</v>
      </c>
      <c r="J15" s="117"/>
      <c r="K15" s="154">
        <f t="shared" si="6"/>
        <v>1</v>
      </c>
    </row>
    <row r="16" spans="1:11" s="33" customFormat="1" ht="15" customHeight="1">
      <c r="A16" s="113">
        <f t="shared" si="7"/>
        <v>12</v>
      </c>
      <c r="B16" s="57">
        <v>75</v>
      </c>
      <c r="C16" s="36">
        <f t="shared" si="0"/>
        <v>14912</v>
      </c>
      <c r="D16" s="37" t="str">
        <f t="shared" si="1"/>
        <v>Schnelle, Enrico</v>
      </c>
      <c r="E16" s="38" t="str">
        <f t="shared" si="2"/>
        <v>RST Mittelfranken</v>
      </c>
      <c r="F16" s="39" t="str">
        <f t="shared" si="3"/>
        <v>VW Polo 6n GTI</v>
      </c>
      <c r="G16" s="38">
        <f t="shared" si="4"/>
        <v>0</v>
      </c>
      <c r="H16" s="38">
        <f t="shared" si="5"/>
        <v>0</v>
      </c>
      <c r="I16" s="105">
        <v>0.0007405092592592593</v>
      </c>
      <c r="J16" s="117"/>
      <c r="K16" s="154">
        <f t="shared" si="6"/>
        <v>1</v>
      </c>
    </row>
    <row r="17" spans="1:11" s="33" customFormat="1" ht="15" customHeight="1">
      <c r="A17" s="113">
        <f t="shared" si="7"/>
        <v>13</v>
      </c>
      <c r="B17" s="57">
        <v>2</v>
      </c>
      <c r="C17" s="36">
        <f t="shared" si="0"/>
        <v>14885</v>
      </c>
      <c r="D17" s="37" t="str">
        <f t="shared" si="1"/>
        <v>Endres, Oliver</v>
      </c>
      <c r="E17" s="38" t="str">
        <f t="shared" si="2"/>
        <v>RST Mittelfranken</v>
      </c>
      <c r="F17" s="39" t="str">
        <f t="shared" si="3"/>
        <v>BMW 318 TI</v>
      </c>
      <c r="G17" s="38">
        <f t="shared" si="4"/>
        <v>0</v>
      </c>
      <c r="H17" s="38">
        <f t="shared" si="5"/>
        <v>0</v>
      </c>
      <c r="I17" s="105">
        <v>0.0007408564814814816</v>
      </c>
      <c r="J17" s="117"/>
      <c r="K17" s="154">
        <f t="shared" si="6"/>
        <v>1</v>
      </c>
    </row>
    <row r="18" spans="1:11" s="33" customFormat="1" ht="15" customHeight="1">
      <c r="A18" s="113">
        <f t="shared" si="7"/>
        <v>14</v>
      </c>
      <c r="B18" s="57">
        <v>349</v>
      </c>
      <c r="C18" s="36">
        <f t="shared" si="0"/>
        <v>13782</v>
      </c>
      <c r="D18" s="37" t="str">
        <f t="shared" si="1"/>
        <v>Semlinger, Christian</v>
      </c>
      <c r="E18" s="38" t="str">
        <f t="shared" si="2"/>
        <v>MSC Bechhofen</v>
      </c>
      <c r="F18" s="39" t="str">
        <f t="shared" si="3"/>
        <v>BMW E30 318is</v>
      </c>
      <c r="G18" s="38">
        <f t="shared" si="4"/>
        <v>0</v>
      </c>
      <c r="H18" s="38">
        <f t="shared" si="5"/>
        <v>0</v>
      </c>
      <c r="I18" s="105">
        <v>0.0007443287037037038</v>
      </c>
      <c r="J18" s="117"/>
      <c r="K18" s="154">
        <f t="shared" si="6"/>
        <v>1</v>
      </c>
    </row>
    <row r="19" spans="1:11" s="33" customFormat="1" ht="15" customHeight="1">
      <c r="A19" s="113">
        <f t="shared" si="7"/>
        <v>15</v>
      </c>
      <c r="B19" s="57">
        <v>215</v>
      </c>
      <c r="C19" s="36">
        <f t="shared" si="0"/>
        <v>14253</v>
      </c>
      <c r="D19" s="37" t="str">
        <f t="shared" si="1"/>
        <v>Knorr, Christopher</v>
      </c>
      <c r="E19" s="38" t="str">
        <f t="shared" si="2"/>
        <v>MSC Jura</v>
      </c>
      <c r="F19" s="39" t="str">
        <f t="shared" si="3"/>
        <v>Opel Kadett C</v>
      </c>
      <c r="G19" s="38">
        <f t="shared" si="4"/>
        <v>0</v>
      </c>
      <c r="H19" s="38">
        <f t="shared" si="5"/>
        <v>0</v>
      </c>
      <c r="I19" s="105">
        <v>0.0007452546296296296</v>
      </c>
      <c r="J19" s="117"/>
      <c r="K19" s="154">
        <f t="shared" si="6"/>
        <v>1</v>
      </c>
    </row>
    <row r="20" spans="1:11" s="33" customFormat="1" ht="15" customHeight="1">
      <c r="A20" s="113">
        <f t="shared" si="7"/>
        <v>16</v>
      </c>
      <c r="B20" s="57">
        <v>1600</v>
      </c>
      <c r="C20" s="36">
        <f t="shared" si="0"/>
        <v>14749</v>
      </c>
      <c r="D20" s="37" t="str">
        <f t="shared" si="1"/>
        <v>Dix, Fabian</v>
      </c>
      <c r="E20" s="38" t="str">
        <f t="shared" si="2"/>
        <v>MSF Tiefenbach</v>
      </c>
      <c r="F20" s="39" t="str">
        <f t="shared" si="3"/>
        <v>Honda Civic Type R</v>
      </c>
      <c r="G20" s="38">
        <f t="shared" si="4"/>
        <v>0</v>
      </c>
      <c r="H20" s="38">
        <f t="shared" si="5"/>
        <v>0</v>
      </c>
      <c r="I20" s="105">
        <v>0.0007454861111111109</v>
      </c>
      <c r="J20" s="117"/>
      <c r="K20" s="154">
        <f t="shared" si="6"/>
        <v>1</v>
      </c>
    </row>
    <row r="21" spans="1:11" s="33" customFormat="1" ht="15" customHeight="1">
      <c r="A21" s="113">
        <f t="shared" si="7"/>
        <v>17</v>
      </c>
      <c r="B21" s="57">
        <v>307</v>
      </c>
      <c r="C21" s="36">
        <f t="shared" si="0"/>
        <v>15379</v>
      </c>
      <c r="D21" s="37" t="str">
        <f t="shared" si="1"/>
        <v>Albrecht, Sven</v>
      </c>
      <c r="E21" s="38" t="str">
        <f t="shared" si="2"/>
        <v>MSC Jura</v>
      </c>
      <c r="F21" s="39" t="str">
        <f t="shared" si="3"/>
        <v>VW Polo</v>
      </c>
      <c r="G21" s="38">
        <f t="shared" si="4"/>
        <v>0</v>
      </c>
      <c r="H21" s="38">
        <f t="shared" si="5"/>
        <v>0</v>
      </c>
      <c r="I21" s="105">
        <v>0.0007461805555555556</v>
      </c>
      <c r="J21" s="117"/>
      <c r="K21" s="154">
        <f t="shared" si="6"/>
        <v>1</v>
      </c>
    </row>
    <row r="22" spans="1:11" s="33" customFormat="1" ht="15" customHeight="1">
      <c r="A22" s="113">
        <f t="shared" si="7"/>
        <v>18</v>
      </c>
      <c r="B22" s="57">
        <v>123</v>
      </c>
      <c r="C22" s="36">
        <f t="shared" si="0"/>
        <v>20088</v>
      </c>
      <c r="D22" s="37" t="str">
        <f t="shared" si="1"/>
        <v>Süss, Inge</v>
      </c>
      <c r="E22" s="38" t="str">
        <f t="shared" si="2"/>
        <v>ASC Ansbach</v>
      </c>
      <c r="F22" s="39" t="str">
        <f t="shared" si="3"/>
        <v>BMW M 135i</v>
      </c>
      <c r="G22" s="38">
        <f t="shared" si="4"/>
        <v>0</v>
      </c>
      <c r="H22" s="38">
        <f t="shared" si="5"/>
        <v>1</v>
      </c>
      <c r="I22" s="105">
        <v>0.0007483796296296297</v>
      </c>
      <c r="J22" s="117"/>
      <c r="K22" s="154">
        <f t="shared" si="6"/>
        <v>1</v>
      </c>
    </row>
    <row r="23" spans="1:11" s="33" customFormat="1" ht="15" customHeight="1">
      <c r="A23" s="113">
        <f t="shared" si="7"/>
        <v>19</v>
      </c>
      <c r="B23" s="57">
        <v>222</v>
      </c>
      <c r="C23" s="36">
        <f t="shared" si="0"/>
        <v>13612</v>
      </c>
      <c r="D23" s="37" t="str">
        <f t="shared" si="1"/>
        <v>Dietrich, Corinna</v>
      </c>
      <c r="E23" s="38" t="str">
        <f t="shared" si="2"/>
        <v>MSC Bechhofen</v>
      </c>
      <c r="F23" s="39" t="str">
        <f t="shared" si="3"/>
        <v>VW Polo</v>
      </c>
      <c r="G23" s="38">
        <f t="shared" si="4"/>
        <v>0</v>
      </c>
      <c r="H23" s="38">
        <f t="shared" si="5"/>
        <v>1</v>
      </c>
      <c r="I23" s="105">
        <v>0.000749074074074074</v>
      </c>
      <c r="J23" s="117"/>
      <c r="K23" s="154">
        <f t="shared" si="6"/>
        <v>1</v>
      </c>
    </row>
    <row r="24" spans="1:11" s="33" customFormat="1" ht="15" customHeight="1">
      <c r="A24" s="113">
        <f t="shared" si="7"/>
        <v>20</v>
      </c>
      <c r="B24" s="57">
        <v>9</v>
      </c>
      <c r="C24" s="36">
        <f t="shared" si="0"/>
        <v>12949</v>
      </c>
      <c r="D24" s="37" t="str">
        <f t="shared" si="1"/>
        <v>Kaiser, Michael</v>
      </c>
      <c r="E24" s="38" t="str">
        <f t="shared" si="2"/>
        <v>MSC Idarwald</v>
      </c>
      <c r="F24" s="39" t="str">
        <f t="shared" si="3"/>
        <v>Honda CRX</v>
      </c>
      <c r="G24" s="38">
        <f t="shared" si="4"/>
        <v>0</v>
      </c>
      <c r="H24" s="38">
        <f t="shared" si="5"/>
        <v>0</v>
      </c>
      <c r="I24" s="105">
        <v>0.0007491898148148148</v>
      </c>
      <c r="J24" s="117"/>
      <c r="K24" s="154">
        <f t="shared" si="6"/>
        <v>1</v>
      </c>
    </row>
    <row r="25" spans="1:11" s="33" customFormat="1" ht="15" customHeight="1">
      <c r="A25" s="113">
        <f t="shared" si="7"/>
        <v>21</v>
      </c>
      <c r="B25" s="57">
        <v>243</v>
      </c>
      <c r="C25" s="36">
        <f t="shared" si="0"/>
        <v>15480</v>
      </c>
      <c r="D25" s="37" t="str">
        <f t="shared" si="1"/>
        <v>König, Max</v>
      </c>
      <c r="E25" s="38" t="str">
        <f t="shared" si="2"/>
        <v>MSC Jura</v>
      </c>
      <c r="F25" s="39" t="str">
        <f t="shared" si="3"/>
        <v>VW Polo</v>
      </c>
      <c r="G25" s="38">
        <f t="shared" si="4"/>
        <v>0</v>
      </c>
      <c r="H25" s="38">
        <f t="shared" si="5"/>
        <v>0</v>
      </c>
      <c r="I25" s="105">
        <v>0.0007512731481481482</v>
      </c>
      <c r="J25" s="117"/>
      <c r="K25" s="154">
        <f t="shared" si="6"/>
        <v>1</v>
      </c>
    </row>
    <row r="26" spans="1:11" s="33" customFormat="1" ht="15" customHeight="1">
      <c r="A26" s="113">
        <f t="shared" si="7"/>
        <v>22</v>
      </c>
      <c r="B26" s="57">
        <v>11</v>
      </c>
      <c r="C26" s="36">
        <f t="shared" si="0"/>
        <v>11136</v>
      </c>
      <c r="D26" s="37" t="str">
        <f t="shared" si="1"/>
        <v>Meyer, Martin</v>
      </c>
      <c r="E26" s="38" t="str">
        <f t="shared" si="2"/>
        <v>ASC Ansbach</v>
      </c>
      <c r="F26" s="39" t="str">
        <f t="shared" si="3"/>
        <v>VW Polo GT</v>
      </c>
      <c r="G26" s="38">
        <f t="shared" si="4"/>
        <v>0</v>
      </c>
      <c r="H26" s="38">
        <f t="shared" si="5"/>
        <v>0</v>
      </c>
      <c r="I26" s="105">
        <v>0.0007520833333333333</v>
      </c>
      <c r="J26" s="117"/>
      <c r="K26" s="154">
        <f t="shared" si="6"/>
        <v>1</v>
      </c>
    </row>
    <row r="27" spans="1:11" s="33" customFormat="1" ht="15" customHeight="1">
      <c r="A27" s="113">
        <f t="shared" si="7"/>
        <v>23</v>
      </c>
      <c r="B27" s="57">
        <v>143</v>
      </c>
      <c r="C27" s="36">
        <f t="shared" si="0"/>
        <v>15479</v>
      </c>
      <c r="D27" s="37" t="str">
        <f t="shared" si="1"/>
        <v>König, Michael</v>
      </c>
      <c r="E27" s="38" t="str">
        <f t="shared" si="2"/>
        <v>MSC Jura</v>
      </c>
      <c r="F27" s="39" t="str">
        <f t="shared" si="3"/>
        <v>VW Polo</v>
      </c>
      <c r="G27" s="38">
        <f t="shared" si="4"/>
        <v>0</v>
      </c>
      <c r="H27" s="38">
        <f t="shared" si="5"/>
        <v>0</v>
      </c>
      <c r="I27" s="105">
        <v>0.0007539351851851852</v>
      </c>
      <c r="J27" s="117"/>
      <c r="K27" s="154">
        <f t="shared" si="6"/>
        <v>1</v>
      </c>
    </row>
    <row r="28" spans="1:11" s="33" customFormat="1" ht="15" customHeight="1">
      <c r="A28" s="113">
        <f t="shared" si="7"/>
        <v>24</v>
      </c>
      <c r="B28" s="57">
        <v>44</v>
      </c>
      <c r="C28" s="36">
        <f t="shared" si="0"/>
        <v>0</v>
      </c>
      <c r="D28" s="37" t="str">
        <f t="shared" si="1"/>
        <v>Philipp, Günther</v>
      </c>
      <c r="E28" s="38" t="str">
        <f t="shared" si="2"/>
        <v>MSC Jura</v>
      </c>
      <c r="F28" s="39" t="str">
        <f t="shared" si="3"/>
        <v>Polo Cup Edition GTI</v>
      </c>
      <c r="G28" s="38">
        <f t="shared" si="4"/>
        <v>0</v>
      </c>
      <c r="H28" s="38">
        <f t="shared" si="5"/>
        <v>0</v>
      </c>
      <c r="I28" s="105">
        <v>0.0007582175925925926</v>
      </c>
      <c r="J28" s="117"/>
      <c r="K28" s="154">
        <f t="shared" si="6"/>
        <v>1</v>
      </c>
    </row>
    <row r="29" spans="1:11" s="33" customFormat="1" ht="15" customHeight="1">
      <c r="A29" s="113">
        <f t="shared" si="7"/>
        <v>25</v>
      </c>
      <c r="B29" s="57">
        <v>224</v>
      </c>
      <c r="C29" s="36">
        <f t="shared" si="0"/>
        <v>40024</v>
      </c>
      <c r="D29" s="37" t="str">
        <f t="shared" si="1"/>
        <v>Dietrich, Jens</v>
      </c>
      <c r="E29" s="38" t="str">
        <f t="shared" si="2"/>
        <v>MSC Bechhofen</v>
      </c>
      <c r="F29" s="39" t="str">
        <f t="shared" si="3"/>
        <v>VW Polo</v>
      </c>
      <c r="G29" s="38">
        <f t="shared" si="4"/>
        <v>0</v>
      </c>
      <c r="H29" s="38">
        <f t="shared" si="5"/>
        <v>0</v>
      </c>
      <c r="I29" s="105">
        <v>0.000759375</v>
      </c>
      <c r="J29" s="117"/>
      <c r="K29" s="154">
        <f t="shared" si="6"/>
        <v>1</v>
      </c>
    </row>
    <row r="30" spans="1:11" s="33" customFormat="1" ht="15" customHeight="1">
      <c r="A30" s="113">
        <f t="shared" si="7"/>
        <v>26</v>
      </c>
      <c r="B30" s="57">
        <v>127</v>
      </c>
      <c r="C30" s="36">
        <f t="shared" si="0"/>
        <v>15446</v>
      </c>
      <c r="D30" s="37" t="str">
        <f t="shared" si="1"/>
        <v>Hollweg, Harald</v>
      </c>
      <c r="E30" s="38" t="str">
        <f t="shared" si="2"/>
        <v>RST Mittelfranken</v>
      </c>
      <c r="F30" s="39" t="str">
        <f t="shared" si="3"/>
        <v>VW Polo</v>
      </c>
      <c r="G30" s="38">
        <f t="shared" si="4"/>
        <v>0</v>
      </c>
      <c r="H30" s="38">
        <f t="shared" si="5"/>
        <v>0</v>
      </c>
      <c r="I30" s="105">
        <v>0.0007644675925925926</v>
      </c>
      <c r="J30" s="117"/>
      <c r="K30" s="154">
        <f t="shared" si="6"/>
        <v>1</v>
      </c>
    </row>
    <row r="31" spans="1:11" s="33" customFormat="1" ht="15" customHeight="1">
      <c r="A31" s="113">
        <f t="shared" si="7"/>
        <v>27</v>
      </c>
      <c r="B31" s="57">
        <v>488</v>
      </c>
      <c r="C31" s="36">
        <f t="shared" si="0"/>
        <v>14245</v>
      </c>
      <c r="D31" s="37" t="str">
        <f t="shared" si="1"/>
        <v>Benninghoff-Müller, Michael</v>
      </c>
      <c r="E31" s="38" t="str">
        <f t="shared" si="2"/>
        <v>MSC Idarwald</v>
      </c>
      <c r="F31" s="39" t="str">
        <f t="shared" si="3"/>
        <v>Honda CRX ED9</v>
      </c>
      <c r="G31" s="38">
        <f t="shared" si="4"/>
        <v>0</v>
      </c>
      <c r="H31" s="38">
        <f t="shared" si="5"/>
        <v>0</v>
      </c>
      <c r="I31" s="105">
        <v>0.0007671296296296297</v>
      </c>
      <c r="J31" s="117"/>
      <c r="K31" s="154">
        <f t="shared" si="6"/>
        <v>1</v>
      </c>
    </row>
    <row r="32" spans="1:11" s="33" customFormat="1" ht="15" customHeight="1">
      <c r="A32" s="113">
        <f t="shared" si="7"/>
        <v>28</v>
      </c>
      <c r="B32" s="57">
        <v>765</v>
      </c>
      <c r="C32" s="36">
        <f t="shared" si="0"/>
        <v>0</v>
      </c>
      <c r="D32" s="37" t="str">
        <f t="shared" si="1"/>
        <v>Endreß, Christoph</v>
      </c>
      <c r="E32" s="38" t="str">
        <f t="shared" si="2"/>
        <v>ASC Ansbach</v>
      </c>
      <c r="F32" s="39" t="str">
        <f t="shared" si="3"/>
        <v>Subaru ImprezaSTi</v>
      </c>
      <c r="G32" s="38">
        <f t="shared" si="4"/>
        <v>0</v>
      </c>
      <c r="H32" s="38">
        <f t="shared" si="5"/>
        <v>0</v>
      </c>
      <c r="I32" s="105">
        <v>0.0007671296296296297</v>
      </c>
      <c r="J32" s="117"/>
      <c r="K32" s="154">
        <f t="shared" si="6"/>
        <v>1</v>
      </c>
    </row>
    <row r="33" spans="1:11" s="33" customFormat="1" ht="15" customHeight="1">
      <c r="A33" s="113">
        <f t="shared" si="7"/>
        <v>29</v>
      </c>
      <c r="B33" s="57">
        <v>464</v>
      </c>
      <c r="C33" s="36">
        <f t="shared" si="0"/>
        <v>14499</v>
      </c>
      <c r="D33" s="37" t="str">
        <f t="shared" si="1"/>
        <v>Höppe Marina</v>
      </c>
      <c r="E33" s="38" t="str">
        <f t="shared" si="2"/>
        <v>RST Mittelfranken</v>
      </c>
      <c r="F33" s="39" t="str">
        <f t="shared" si="3"/>
        <v>VW Polo 6n GTI</v>
      </c>
      <c r="G33" s="38">
        <f t="shared" si="4"/>
        <v>0</v>
      </c>
      <c r="H33" s="38">
        <f t="shared" si="5"/>
        <v>1</v>
      </c>
      <c r="I33" s="105">
        <v>0.0007672453703703704</v>
      </c>
      <c r="J33" s="117"/>
      <c r="K33" s="154">
        <f t="shared" si="6"/>
        <v>1</v>
      </c>
    </row>
    <row r="34" spans="1:11" s="33" customFormat="1" ht="15" customHeight="1">
      <c r="A34" s="113">
        <f t="shared" si="7"/>
        <v>30</v>
      </c>
      <c r="B34" s="57">
        <v>160</v>
      </c>
      <c r="C34" s="36">
        <f t="shared" si="0"/>
        <v>15312</v>
      </c>
      <c r="D34" s="37" t="str">
        <f t="shared" si="1"/>
        <v>Dix, Simon</v>
      </c>
      <c r="E34" s="38" t="str">
        <f t="shared" si="2"/>
        <v>MSF Tiefenbach</v>
      </c>
      <c r="F34" s="39" t="str">
        <f t="shared" si="3"/>
        <v>Honda Civic Type R</v>
      </c>
      <c r="G34" s="38">
        <f t="shared" si="4"/>
        <v>0</v>
      </c>
      <c r="H34" s="38">
        <f t="shared" si="5"/>
        <v>0</v>
      </c>
      <c r="I34" s="105">
        <v>0.0007679444444444445</v>
      </c>
      <c r="J34" s="117"/>
      <c r="K34" s="154">
        <f t="shared" si="6"/>
        <v>1</v>
      </c>
    </row>
    <row r="35" spans="1:11" ht="15" customHeight="1">
      <c r="A35" s="113">
        <f t="shared" si="7"/>
        <v>31</v>
      </c>
      <c r="B35" s="106">
        <v>888</v>
      </c>
      <c r="C35" s="107">
        <f t="shared" si="0"/>
        <v>15182</v>
      </c>
      <c r="D35" s="37" t="str">
        <f t="shared" si="1"/>
        <v>Korn, Stephan</v>
      </c>
      <c r="E35" s="37" t="str">
        <f t="shared" si="2"/>
        <v>MSF Tiefenbach</v>
      </c>
      <c r="F35" s="38" t="str">
        <f t="shared" si="3"/>
        <v>Toyota Celica GTS</v>
      </c>
      <c r="G35" s="38">
        <f t="shared" si="4"/>
        <v>0</v>
      </c>
      <c r="H35" s="38">
        <f t="shared" si="5"/>
        <v>0</v>
      </c>
      <c r="I35" s="105">
        <v>0.0007694444444444446</v>
      </c>
      <c r="J35" s="117"/>
      <c r="K35" s="154">
        <f t="shared" si="6"/>
        <v>1</v>
      </c>
    </row>
    <row r="36" spans="1:11" ht="15" customHeight="1">
      <c r="A36" s="113">
        <f t="shared" si="7"/>
        <v>32</v>
      </c>
      <c r="B36" s="106">
        <v>149</v>
      </c>
      <c r="C36" s="107">
        <f t="shared" si="0"/>
        <v>14907</v>
      </c>
      <c r="D36" s="37" t="str">
        <f t="shared" si="1"/>
        <v>Linke, Olaf</v>
      </c>
      <c r="E36" s="37" t="str">
        <f t="shared" si="2"/>
        <v>MSC Bechhofen</v>
      </c>
      <c r="F36" s="38" t="str">
        <f t="shared" si="3"/>
        <v>Opel Corsa GSI</v>
      </c>
      <c r="G36" s="38">
        <f t="shared" si="4"/>
        <v>0</v>
      </c>
      <c r="H36" s="38">
        <f t="shared" si="5"/>
        <v>0</v>
      </c>
      <c r="I36" s="105">
        <v>0.000771412037037037</v>
      </c>
      <c r="J36" s="117"/>
      <c r="K36" s="154">
        <f t="shared" si="6"/>
        <v>1</v>
      </c>
    </row>
    <row r="37" spans="1:11" ht="15" customHeight="1">
      <c r="A37" s="113">
        <f t="shared" si="7"/>
        <v>33</v>
      </c>
      <c r="B37" s="106">
        <v>221</v>
      </c>
      <c r="C37" s="107">
        <f aca="true" t="shared" si="8" ref="C37:C68">IF(ISBLANK(B37),"",VLOOKUP(B37,Starter_Feld,2,FALSE))</f>
        <v>20071</v>
      </c>
      <c r="D37" s="37" t="str">
        <f aca="true" t="shared" si="9" ref="D37:D68">IF(ISBLANK(B37),"",VLOOKUP(B37,Starter_Feld,3,FALSE))</f>
        <v>Schopf, Karl</v>
      </c>
      <c r="E37" s="37" t="str">
        <f aca="true" t="shared" si="10" ref="E37:E68">IF(ISBLANK(B37),"",VLOOKUP(B37,Starter_Feld,4,FALSE))</f>
        <v>ASC Ansbach</v>
      </c>
      <c r="F37" s="38" t="str">
        <f aca="true" t="shared" si="11" ref="F37:F68">IF(ISBLANK(B37),"",VLOOKUP(B37,Starter_Feld,5,FALSE))</f>
        <v>Audi 50</v>
      </c>
      <c r="G37" s="38">
        <f aca="true" t="shared" si="12" ref="G37:G68">IF(ISBLANK(B37),"",VLOOKUP(B37,Starter_Feld,7,FALSE))</f>
        <v>0</v>
      </c>
      <c r="H37" s="38">
        <f aca="true" t="shared" si="13" ref="H37:H68">IF(ISBLANK(B37),"",VLOOKUP(B37,Starter_Feld,8,FALSE))</f>
        <v>0</v>
      </c>
      <c r="I37" s="105">
        <v>0.0007717592592592593</v>
      </c>
      <c r="J37" s="117"/>
      <c r="K37" s="154">
        <f t="shared" si="6"/>
        <v>1</v>
      </c>
    </row>
    <row r="38" spans="1:11" ht="15" customHeight="1">
      <c r="A38" s="113">
        <f t="shared" si="7"/>
        <v>34</v>
      </c>
      <c r="B38" s="106">
        <v>33</v>
      </c>
      <c r="C38" s="107">
        <f t="shared" si="8"/>
        <v>15370</v>
      </c>
      <c r="D38" s="37" t="str">
        <f t="shared" si="9"/>
        <v>Ehrngruber, René</v>
      </c>
      <c r="E38" s="37" t="str">
        <f t="shared" si="10"/>
        <v>MSC Jura</v>
      </c>
      <c r="F38" s="38" t="str">
        <f t="shared" si="11"/>
        <v>VW Polo</v>
      </c>
      <c r="G38" s="38">
        <f t="shared" si="12"/>
        <v>1</v>
      </c>
      <c r="H38" s="38">
        <f t="shared" si="13"/>
        <v>0</v>
      </c>
      <c r="I38" s="105">
        <v>0.000772337962962963</v>
      </c>
      <c r="J38" s="117"/>
      <c r="K38" s="154">
        <f t="shared" si="6"/>
        <v>1</v>
      </c>
    </row>
    <row r="39" spans="1:11" ht="15" customHeight="1">
      <c r="A39" s="113">
        <f t="shared" si="7"/>
        <v>35</v>
      </c>
      <c r="B39" s="106">
        <v>955</v>
      </c>
      <c r="C39" s="107">
        <f t="shared" si="8"/>
        <v>15264</v>
      </c>
      <c r="D39" s="37" t="str">
        <f t="shared" si="9"/>
        <v>Henninger, Florian</v>
      </c>
      <c r="E39" s="37" t="str">
        <f t="shared" si="10"/>
        <v>ASC Ansbach</v>
      </c>
      <c r="F39" s="38" t="str">
        <f t="shared" si="11"/>
        <v>Daihatsu Cuore</v>
      </c>
      <c r="G39" s="38">
        <f t="shared" si="12"/>
        <v>0</v>
      </c>
      <c r="H39" s="38">
        <f t="shared" si="13"/>
        <v>0</v>
      </c>
      <c r="I39" s="105">
        <v>0.0007807870370370372</v>
      </c>
      <c r="J39" s="117"/>
      <c r="K39" s="154">
        <f t="shared" si="6"/>
        <v>1</v>
      </c>
    </row>
    <row r="40" spans="1:11" ht="15" customHeight="1">
      <c r="A40" s="113">
        <f t="shared" si="7"/>
        <v>36</v>
      </c>
      <c r="B40" s="106">
        <v>48</v>
      </c>
      <c r="C40" s="107">
        <f t="shared" si="8"/>
        <v>11597</v>
      </c>
      <c r="D40" s="37" t="str">
        <f t="shared" si="9"/>
        <v>Koch, Wieland</v>
      </c>
      <c r="E40" s="37" t="str">
        <f t="shared" si="10"/>
        <v>MSC Jura</v>
      </c>
      <c r="F40" s="38" t="str">
        <f t="shared" si="11"/>
        <v>NSU TTS</v>
      </c>
      <c r="G40" s="38">
        <f t="shared" si="12"/>
        <v>0</v>
      </c>
      <c r="H40" s="38">
        <f t="shared" si="13"/>
        <v>0</v>
      </c>
      <c r="I40" s="105">
        <v>0.0007822916666666667</v>
      </c>
      <c r="J40" s="117"/>
      <c r="K40" s="154">
        <f t="shared" si="6"/>
        <v>1</v>
      </c>
    </row>
    <row r="41" spans="1:11" ht="15" customHeight="1">
      <c r="A41" s="113">
        <f t="shared" si="7"/>
        <v>37</v>
      </c>
      <c r="B41" s="106">
        <v>306</v>
      </c>
      <c r="C41" s="107">
        <f t="shared" si="8"/>
        <v>15767</v>
      </c>
      <c r="D41" s="37" t="str">
        <f t="shared" si="9"/>
        <v>Gregor, Roland</v>
      </c>
      <c r="E41" s="37" t="str">
        <f t="shared" si="10"/>
        <v>RST Mittelfranken</v>
      </c>
      <c r="F41" s="38" t="str">
        <f t="shared" si="11"/>
        <v>Citroen AX</v>
      </c>
      <c r="G41" s="38">
        <f t="shared" si="12"/>
        <v>1</v>
      </c>
      <c r="H41" s="38">
        <f t="shared" si="13"/>
        <v>0</v>
      </c>
      <c r="I41" s="105">
        <v>0.000783449074074074</v>
      </c>
      <c r="J41" s="117"/>
      <c r="K41" s="154">
        <f t="shared" si="6"/>
        <v>1</v>
      </c>
    </row>
    <row r="42" spans="1:11" ht="15" customHeight="1">
      <c r="A42" s="113">
        <f t="shared" si="7"/>
        <v>38</v>
      </c>
      <c r="B42" s="106">
        <v>568</v>
      </c>
      <c r="C42" s="107">
        <f t="shared" si="8"/>
        <v>15745</v>
      </c>
      <c r="D42" s="37" t="str">
        <f t="shared" si="9"/>
        <v>Hezler, Jannik</v>
      </c>
      <c r="E42" s="37" t="str">
        <f t="shared" si="10"/>
        <v>MSC Aalen</v>
      </c>
      <c r="F42" s="38" t="str">
        <f t="shared" si="11"/>
        <v>Mercedes A 220</v>
      </c>
      <c r="G42" s="38">
        <f t="shared" si="12"/>
        <v>0</v>
      </c>
      <c r="H42" s="38">
        <f t="shared" si="13"/>
        <v>0</v>
      </c>
      <c r="I42" s="105">
        <v>0.0007836805555555556</v>
      </c>
      <c r="J42" s="117"/>
      <c r="K42" s="154">
        <f t="shared" si="6"/>
        <v>1</v>
      </c>
    </row>
    <row r="43" spans="1:11" ht="15" customHeight="1">
      <c r="A43" s="113">
        <f t="shared" si="7"/>
        <v>39</v>
      </c>
      <c r="B43" s="106">
        <v>122</v>
      </c>
      <c r="C43" s="107">
        <f t="shared" si="8"/>
        <v>20029</v>
      </c>
      <c r="D43" s="37" t="str">
        <f t="shared" si="9"/>
        <v>Hofmann, Joachim</v>
      </c>
      <c r="E43" s="37" t="str">
        <f t="shared" si="10"/>
        <v>ASC Ansbach</v>
      </c>
      <c r="F43" s="38" t="str">
        <f t="shared" si="11"/>
        <v>BMW M 135i</v>
      </c>
      <c r="G43" s="38">
        <f t="shared" si="12"/>
        <v>0</v>
      </c>
      <c r="H43" s="38">
        <f t="shared" si="13"/>
        <v>0</v>
      </c>
      <c r="I43" s="105">
        <v>0.0007842592592592593</v>
      </c>
      <c r="J43" s="117"/>
      <c r="K43" s="154">
        <f t="shared" si="6"/>
        <v>1</v>
      </c>
    </row>
    <row r="44" spans="1:11" ht="15" customHeight="1">
      <c r="A44" s="113">
        <f t="shared" si="7"/>
        <v>40</v>
      </c>
      <c r="B44" s="106">
        <v>501</v>
      </c>
      <c r="C44" s="107">
        <f t="shared" si="8"/>
        <v>14266</v>
      </c>
      <c r="D44" s="37" t="str">
        <f t="shared" si="9"/>
        <v>Beck, Ricarda</v>
      </c>
      <c r="E44" s="37" t="str">
        <f t="shared" si="10"/>
        <v>MSC Bechhofen</v>
      </c>
      <c r="F44" s="38" t="str">
        <f t="shared" si="11"/>
        <v>VW Golf R </v>
      </c>
      <c r="G44" s="38">
        <f t="shared" si="12"/>
        <v>0</v>
      </c>
      <c r="H44" s="38">
        <f t="shared" si="13"/>
        <v>1</v>
      </c>
      <c r="I44" s="105">
        <v>0.0007914351851851851</v>
      </c>
      <c r="J44" s="117"/>
      <c r="K44" s="154">
        <f t="shared" si="6"/>
        <v>1</v>
      </c>
    </row>
    <row r="45" spans="1:11" ht="15" customHeight="1">
      <c r="A45" s="113">
        <f t="shared" si="7"/>
        <v>41</v>
      </c>
      <c r="B45" s="106">
        <v>169</v>
      </c>
      <c r="C45" s="107">
        <f t="shared" si="8"/>
        <v>13583</v>
      </c>
      <c r="D45" s="37" t="str">
        <f t="shared" si="9"/>
        <v>Reihs, Michael</v>
      </c>
      <c r="E45" s="37" t="str">
        <f t="shared" si="10"/>
        <v>MSC Bechhofen</v>
      </c>
      <c r="F45" s="38" t="str">
        <f t="shared" si="11"/>
        <v>Fiat Panda</v>
      </c>
      <c r="G45" s="38">
        <f t="shared" si="12"/>
        <v>1</v>
      </c>
      <c r="H45" s="38">
        <f t="shared" si="13"/>
        <v>0</v>
      </c>
      <c r="I45" s="105">
        <v>0.0007934027777777779</v>
      </c>
      <c r="J45" s="117"/>
      <c r="K45" s="154">
        <f t="shared" si="6"/>
        <v>1</v>
      </c>
    </row>
    <row r="46" spans="1:11" ht="15" customHeight="1">
      <c r="A46" s="113">
        <f t="shared" si="7"/>
        <v>42</v>
      </c>
      <c r="B46" s="106">
        <v>489</v>
      </c>
      <c r="C46" s="107">
        <f t="shared" si="8"/>
        <v>15893</v>
      </c>
      <c r="D46" s="37" t="str">
        <f t="shared" si="9"/>
        <v>Müller, Martin</v>
      </c>
      <c r="E46" s="37" t="str">
        <f t="shared" si="10"/>
        <v>MSC Idarwald</v>
      </c>
      <c r="F46" s="38" t="str">
        <f t="shared" si="11"/>
        <v>Honda CRX ED9</v>
      </c>
      <c r="G46" s="38">
        <f t="shared" si="12"/>
        <v>0</v>
      </c>
      <c r="H46" s="38">
        <f t="shared" si="13"/>
        <v>0</v>
      </c>
      <c r="I46" s="105">
        <v>0.0008017361111111111</v>
      </c>
      <c r="J46" s="117"/>
      <c r="K46" s="154">
        <f t="shared" si="6"/>
        <v>1</v>
      </c>
    </row>
    <row r="47" spans="1:11" ht="15" customHeight="1">
      <c r="A47" s="113">
        <f t="shared" si="7"/>
        <v>43</v>
      </c>
      <c r="B47" s="106">
        <v>89</v>
      </c>
      <c r="C47" s="107">
        <f t="shared" si="8"/>
        <v>12129</v>
      </c>
      <c r="D47" s="37" t="str">
        <f t="shared" si="9"/>
        <v>Klar, Thomas</v>
      </c>
      <c r="E47" s="37" t="str">
        <f t="shared" si="10"/>
        <v>SFG Südhessen</v>
      </c>
      <c r="F47" s="38" t="str">
        <f t="shared" si="11"/>
        <v>Ford Puma</v>
      </c>
      <c r="G47" s="38">
        <f t="shared" si="12"/>
        <v>0</v>
      </c>
      <c r="H47" s="38">
        <f t="shared" si="13"/>
        <v>0</v>
      </c>
      <c r="I47" s="105">
        <v>0.0008053240740740741</v>
      </c>
      <c r="J47" s="117"/>
      <c r="K47" s="154">
        <f t="shared" si="6"/>
        <v>1</v>
      </c>
    </row>
    <row r="48" spans="1:11" ht="15" customHeight="1">
      <c r="A48" s="113">
        <f t="shared" si="7"/>
        <v>44</v>
      </c>
      <c r="B48" s="106">
        <v>112</v>
      </c>
      <c r="C48" s="107">
        <f t="shared" si="8"/>
        <v>20769</v>
      </c>
      <c r="D48" s="37" t="str">
        <f t="shared" si="9"/>
        <v>Lobenhofer, Michael</v>
      </c>
      <c r="E48" s="37" t="str">
        <f t="shared" si="10"/>
        <v>MSC Wallerberg</v>
      </c>
      <c r="F48" s="38" t="str">
        <f t="shared" si="11"/>
        <v>VW Polo</v>
      </c>
      <c r="G48" s="38">
        <f t="shared" si="12"/>
        <v>0</v>
      </c>
      <c r="H48" s="38">
        <f t="shared" si="13"/>
        <v>0</v>
      </c>
      <c r="I48" s="105">
        <v>0.0008100694444444445</v>
      </c>
      <c r="J48" s="117"/>
      <c r="K48" s="154">
        <f t="shared" si="6"/>
        <v>1</v>
      </c>
    </row>
    <row r="49" spans="1:11" ht="15" customHeight="1">
      <c r="A49" s="113">
        <f t="shared" si="7"/>
        <v>45</v>
      </c>
      <c r="B49" s="106">
        <v>165</v>
      </c>
      <c r="C49" s="107">
        <f t="shared" si="8"/>
        <v>12772</v>
      </c>
      <c r="D49" s="37" t="str">
        <f t="shared" si="9"/>
        <v>Ziegler, Erich</v>
      </c>
      <c r="E49" s="37" t="str">
        <f t="shared" si="10"/>
        <v>ASC Ansbach</v>
      </c>
      <c r="F49" s="38" t="str">
        <f t="shared" si="11"/>
        <v>Daihatsu Cuore</v>
      </c>
      <c r="G49" s="38">
        <f t="shared" si="12"/>
        <v>0</v>
      </c>
      <c r="H49" s="38">
        <f t="shared" si="13"/>
        <v>0</v>
      </c>
      <c r="I49" s="105">
        <v>0.0008186342592592593</v>
      </c>
      <c r="J49" s="117"/>
      <c r="K49" s="154">
        <f t="shared" si="6"/>
        <v>1</v>
      </c>
    </row>
    <row r="50" spans="1:11" ht="15" customHeight="1">
      <c r="A50" s="113">
        <f t="shared" si="7"/>
        <v>46</v>
      </c>
      <c r="B50" s="106">
        <v>164</v>
      </c>
      <c r="C50" s="107">
        <f t="shared" si="8"/>
        <v>12771</v>
      </c>
      <c r="D50" s="37" t="str">
        <f t="shared" si="9"/>
        <v>Ziegler, Daniela</v>
      </c>
      <c r="E50" s="37" t="str">
        <f t="shared" si="10"/>
        <v>ASC Ansbach</v>
      </c>
      <c r="F50" s="38" t="str">
        <f t="shared" si="11"/>
        <v>Audi 50</v>
      </c>
      <c r="G50" s="38">
        <f t="shared" si="12"/>
        <v>0</v>
      </c>
      <c r="H50" s="38">
        <f t="shared" si="13"/>
        <v>1</v>
      </c>
      <c r="I50" s="105">
        <v>0.0008194444444444444</v>
      </c>
      <c r="J50" s="117"/>
      <c r="K50" s="154">
        <f t="shared" si="6"/>
        <v>1</v>
      </c>
    </row>
    <row r="51" spans="1:11" ht="15" customHeight="1">
      <c r="A51" s="113">
        <f aca="true" t="shared" si="14" ref="A51:A102">IF(ISBLANK(B51),"",A50+1)</f>
        <v>47</v>
      </c>
      <c r="B51" s="106">
        <v>102</v>
      </c>
      <c r="C51" s="107">
        <f t="shared" si="8"/>
        <v>20160</v>
      </c>
      <c r="D51" s="37" t="str">
        <f t="shared" si="9"/>
        <v>Nölp, Dieter</v>
      </c>
      <c r="E51" s="37" t="str">
        <f t="shared" si="10"/>
        <v>ASC Ansbach</v>
      </c>
      <c r="F51" s="38" t="str">
        <f t="shared" si="11"/>
        <v>Audi RS 3</v>
      </c>
      <c r="G51" s="38">
        <f t="shared" si="12"/>
        <v>0</v>
      </c>
      <c r="H51" s="38">
        <f t="shared" si="13"/>
        <v>0</v>
      </c>
      <c r="I51" s="105">
        <v>0.0008197962962962962</v>
      </c>
      <c r="J51" s="117"/>
      <c r="K51" s="154">
        <f aca="true" t="shared" si="15" ref="K51:K102">IF(ISBLANK(B51),"",1)</f>
        <v>1</v>
      </c>
    </row>
    <row r="52" spans="1:11" ht="15" customHeight="1">
      <c r="A52" s="113">
        <f t="shared" si="14"/>
        <v>48</v>
      </c>
      <c r="B52" s="106">
        <v>451</v>
      </c>
      <c r="C52" s="107">
        <f t="shared" si="8"/>
        <v>13840</v>
      </c>
      <c r="D52" s="37" t="str">
        <f t="shared" si="9"/>
        <v>Göhlich, Andre</v>
      </c>
      <c r="E52" s="37" t="str">
        <f t="shared" si="10"/>
        <v>MSC Bechhofen</v>
      </c>
      <c r="F52" s="38" t="str">
        <f t="shared" si="11"/>
        <v>Mercedes Benz A 45 AMG</v>
      </c>
      <c r="G52" s="38">
        <f t="shared" si="12"/>
        <v>0</v>
      </c>
      <c r="H52" s="38">
        <f t="shared" si="13"/>
        <v>0</v>
      </c>
      <c r="I52" s="105">
        <v>0.0008217685185185184</v>
      </c>
      <c r="J52" s="117"/>
      <c r="K52" s="154">
        <f t="shared" si="15"/>
        <v>1</v>
      </c>
    </row>
    <row r="53" spans="1:11" ht="15" customHeight="1">
      <c r="A53" s="113">
        <f t="shared" si="14"/>
        <v>49</v>
      </c>
      <c r="B53" s="106">
        <v>883</v>
      </c>
      <c r="C53" s="107">
        <f t="shared" si="8"/>
        <v>15181</v>
      </c>
      <c r="D53" s="37" t="str">
        <f t="shared" si="9"/>
        <v>Korn, Sabrina</v>
      </c>
      <c r="E53" s="37" t="str">
        <f t="shared" si="10"/>
        <v>MSF Tiefenbach</v>
      </c>
      <c r="F53" s="38" t="str">
        <f t="shared" si="11"/>
        <v>Toyota Celica GTS</v>
      </c>
      <c r="G53" s="38">
        <f t="shared" si="12"/>
        <v>0</v>
      </c>
      <c r="H53" s="38">
        <f t="shared" si="13"/>
        <v>1</v>
      </c>
      <c r="I53" s="105">
        <v>0.0008258148148148147</v>
      </c>
      <c r="J53" s="117"/>
      <c r="K53" s="154">
        <f t="shared" si="15"/>
        <v>1</v>
      </c>
    </row>
    <row r="54" spans="1:11" ht="15" customHeight="1">
      <c r="A54" s="113">
        <f t="shared" si="14"/>
        <v>50</v>
      </c>
      <c r="B54" s="106">
        <v>586</v>
      </c>
      <c r="C54" s="107">
        <f t="shared" si="8"/>
        <v>0</v>
      </c>
      <c r="D54" s="37" t="str">
        <f t="shared" si="9"/>
        <v>Reichart, Rudi</v>
      </c>
      <c r="E54" s="37">
        <f t="shared" si="10"/>
        <v>0</v>
      </c>
      <c r="F54" s="38" t="str">
        <f t="shared" si="11"/>
        <v>Audi A 4</v>
      </c>
      <c r="G54" s="38">
        <f t="shared" si="12"/>
        <v>0</v>
      </c>
      <c r="H54" s="38">
        <f t="shared" si="13"/>
        <v>0</v>
      </c>
      <c r="I54" s="105">
        <v>0.0008298611111111112</v>
      </c>
      <c r="J54" s="117"/>
      <c r="K54" s="154">
        <f t="shared" si="15"/>
        <v>1</v>
      </c>
    </row>
    <row r="55" spans="1:11" ht="15" customHeight="1">
      <c r="A55" s="113">
        <f t="shared" si="14"/>
        <v>51</v>
      </c>
      <c r="B55" s="106">
        <v>55</v>
      </c>
      <c r="C55" s="107">
        <f t="shared" si="8"/>
        <v>15356</v>
      </c>
      <c r="D55" s="37" t="str">
        <f t="shared" si="9"/>
        <v>Heller, Barbara</v>
      </c>
      <c r="E55" s="37" t="str">
        <f t="shared" si="10"/>
        <v>ASC Ansbach</v>
      </c>
      <c r="F55" s="38" t="str">
        <f t="shared" si="11"/>
        <v>Daihatsu Cuore</v>
      </c>
      <c r="G55" s="38">
        <f t="shared" si="12"/>
        <v>1</v>
      </c>
      <c r="H55" s="38">
        <f t="shared" si="13"/>
        <v>1</v>
      </c>
      <c r="I55" s="105">
        <v>0.0008362268518518518</v>
      </c>
      <c r="J55" s="117"/>
      <c r="K55" s="154">
        <f t="shared" si="15"/>
        <v>1</v>
      </c>
    </row>
    <row r="56" spans="1:11" ht="15" customHeight="1">
      <c r="A56" s="113">
        <f t="shared" si="14"/>
        <v>52</v>
      </c>
      <c r="B56" s="106">
        <v>414</v>
      </c>
      <c r="C56" s="107">
        <f t="shared" si="8"/>
        <v>15894</v>
      </c>
      <c r="D56" s="37" t="str">
        <f t="shared" si="9"/>
        <v>Feder, Jasmin</v>
      </c>
      <c r="E56" s="37" t="str">
        <f t="shared" si="10"/>
        <v>RST Mittelfranken</v>
      </c>
      <c r="F56" s="38" t="str">
        <f t="shared" si="11"/>
        <v>VW Polo</v>
      </c>
      <c r="G56" s="38">
        <f t="shared" si="12"/>
        <v>1</v>
      </c>
      <c r="H56" s="38">
        <f t="shared" si="13"/>
        <v>1</v>
      </c>
      <c r="I56" s="105">
        <v>0.0008375</v>
      </c>
      <c r="J56" s="117"/>
      <c r="K56" s="154">
        <f t="shared" si="15"/>
        <v>1</v>
      </c>
    </row>
    <row r="57" spans="1:11" ht="15" customHeight="1">
      <c r="A57" s="113">
        <f t="shared" si="14"/>
        <v>53</v>
      </c>
      <c r="B57" s="106">
        <v>339</v>
      </c>
      <c r="C57" s="107">
        <f t="shared" si="8"/>
        <v>0</v>
      </c>
      <c r="D57" s="37" t="str">
        <f t="shared" si="9"/>
        <v>Treiber, Timo</v>
      </c>
      <c r="E57" s="37">
        <f t="shared" si="10"/>
        <v>0</v>
      </c>
      <c r="F57" s="38" t="str">
        <f t="shared" si="11"/>
        <v>VW Polo</v>
      </c>
      <c r="G57" s="38">
        <f t="shared" si="12"/>
        <v>1</v>
      </c>
      <c r="H57" s="38">
        <f t="shared" si="13"/>
        <v>0</v>
      </c>
      <c r="I57" s="105">
        <v>0.000838199074074074</v>
      </c>
      <c r="J57" s="117"/>
      <c r="K57" s="154">
        <f t="shared" si="15"/>
        <v>1</v>
      </c>
    </row>
    <row r="58" spans="1:11" ht="15" customHeight="1">
      <c r="A58" s="113">
        <f t="shared" si="14"/>
        <v>54</v>
      </c>
      <c r="B58" s="106">
        <v>343</v>
      </c>
      <c r="C58" s="107">
        <f t="shared" si="8"/>
        <v>0</v>
      </c>
      <c r="D58" s="37" t="str">
        <f t="shared" si="9"/>
        <v>Jakob, Michael</v>
      </c>
      <c r="E58" s="37" t="str">
        <f t="shared" si="10"/>
        <v>MSC Aalen</v>
      </c>
      <c r="F58" s="38" t="str">
        <f t="shared" si="11"/>
        <v>Suzuki Splash DDiS</v>
      </c>
      <c r="G58" s="38">
        <f t="shared" si="12"/>
        <v>0</v>
      </c>
      <c r="H58" s="38">
        <f t="shared" si="13"/>
        <v>0</v>
      </c>
      <c r="I58" s="105">
        <v>0.0008564814814814815</v>
      </c>
      <c r="J58" s="117"/>
      <c r="K58" s="154">
        <f t="shared" si="15"/>
        <v>1</v>
      </c>
    </row>
    <row r="59" spans="1:11" ht="15" customHeight="1">
      <c r="A59" s="113">
        <f t="shared" si="14"/>
        <v>55</v>
      </c>
      <c r="B59" s="106">
        <v>498</v>
      </c>
      <c r="C59" s="107">
        <f t="shared" si="8"/>
        <v>0</v>
      </c>
      <c r="D59" s="37" t="str">
        <f t="shared" si="9"/>
        <v>Schwarz, Michael</v>
      </c>
      <c r="E59" s="37">
        <f t="shared" si="10"/>
        <v>0</v>
      </c>
      <c r="F59" s="38" t="str">
        <f t="shared" si="11"/>
        <v>Fiat 500 Abarth</v>
      </c>
      <c r="G59" s="38">
        <f t="shared" si="12"/>
        <v>1</v>
      </c>
      <c r="H59" s="38">
        <f t="shared" si="13"/>
        <v>0</v>
      </c>
      <c r="I59" s="105">
        <v>0.000862037037037037</v>
      </c>
      <c r="J59" s="117"/>
      <c r="K59" s="154">
        <f t="shared" si="15"/>
        <v>1</v>
      </c>
    </row>
    <row r="60" spans="1:11" ht="15" customHeight="1">
      <c r="A60" s="113">
        <f t="shared" si="14"/>
        <v>56</v>
      </c>
      <c r="B60" s="106">
        <v>223</v>
      </c>
      <c r="C60" s="107">
        <f t="shared" si="8"/>
        <v>40021</v>
      </c>
      <c r="D60" s="37" t="str">
        <f t="shared" si="9"/>
        <v>Dietrich, Roland</v>
      </c>
      <c r="E60" s="37" t="str">
        <f t="shared" si="10"/>
        <v>MSC Bechhofen</v>
      </c>
      <c r="F60" s="38" t="str">
        <f t="shared" si="11"/>
        <v>VW Polo</v>
      </c>
      <c r="G60" s="38">
        <f t="shared" si="12"/>
        <v>0</v>
      </c>
      <c r="H60" s="38">
        <f t="shared" si="13"/>
        <v>0</v>
      </c>
      <c r="I60" s="105">
        <v>0.0008640092592592594</v>
      </c>
      <c r="J60" s="117"/>
      <c r="K60" s="154">
        <f t="shared" si="15"/>
        <v>1</v>
      </c>
    </row>
    <row r="61" spans="1:11" ht="15" customHeight="1">
      <c r="A61" s="113">
        <f t="shared" si="14"/>
        <v>57</v>
      </c>
      <c r="B61" s="106">
        <v>766</v>
      </c>
      <c r="C61" s="107">
        <f t="shared" si="8"/>
        <v>0</v>
      </c>
      <c r="D61" s="37" t="str">
        <f t="shared" si="9"/>
        <v>Endreß, Johann</v>
      </c>
      <c r="E61" s="37" t="str">
        <f t="shared" si="10"/>
        <v>ASC Ansbach</v>
      </c>
      <c r="F61" s="38" t="str">
        <f t="shared" si="11"/>
        <v>Subaru ImprezaSTi</v>
      </c>
      <c r="G61" s="38">
        <f t="shared" si="12"/>
        <v>0</v>
      </c>
      <c r="H61" s="38">
        <f t="shared" si="13"/>
        <v>0</v>
      </c>
      <c r="I61" s="105">
        <v>0.0008844953703703703</v>
      </c>
      <c r="J61" s="117"/>
      <c r="K61" s="154">
        <f t="shared" si="15"/>
        <v>1</v>
      </c>
    </row>
    <row r="62" spans="1:11" ht="15" customHeight="1">
      <c r="A62" s="113">
        <f t="shared" si="14"/>
        <v>58</v>
      </c>
      <c r="B62" s="106">
        <v>231</v>
      </c>
      <c r="C62" s="107">
        <f t="shared" si="8"/>
        <v>15449</v>
      </c>
      <c r="D62" s="37" t="str">
        <f t="shared" si="9"/>
        <v>Erler, Konstantin</v>
      </c>
      <c r="E62" s="37" t="str">
        <f t="shared" si="10"/>
        <v>ASVC Wieseth</v>
      </c>
      <c r="F62" s="38" t="str">
        <f t="shared" si="11"/>
        <v>BMW E30 325i</v>
      </c>
      <c r="G62" s="38">
        <f t="shared" si="12"/>
        <v>0</v>
      </c>
      <c r="H62" s="38">
        <f t="shared" si="13"/>
        <v>0</v>
      </c>
      <c r="I62" s="105">
        <v>0.0011726851851851852</v>
      </c>
      <c r="J62" s="117"/>
      <c r="K62" s="154">
        <f t="shared" si="15"/>
        <v>1</v>
      </c>
    </row>
    <row r="63" spans="1:11" ht="15" customHeight="1">
      <c r="A63" s="113">
        <f t="shared" si="14"/>
        <v>59</v>
      </c>
      <c r="B63" s="106">
        <v>344</v>
      </c>
      <c r="C63" s="107">
        <f t="shared" si="8"/>
        <v>0</v>
      </c>
      <c r="D63" s="37" t="str">
        <f t="shared" si="9"/>
        <v>Jakob, Robert</v>
      </c>
      <c r="E63" s="37">
        <f t="shared" si="10"/>
        <v>0</v>
      </c>
      <c r="F63" s="38" t="str">
        <f t="shared" si="11"/>
        <v>Suzuki Splash DDiS</v>
      </c>
      <c r="G63" s="38">
        <f t="shared" si="12"/>
        <v>0</v>
      </c>
      <c r="H63" s="38">
        <f t="shared" si="13"/>
        <v>0</v>
      </c>
      <c r="I63" s="105">
        <v>0.0015654490740740741</v>
      </c>
      <c r="J63" s="117"/>
      <c r="K63" s="154">
        <f t="shared" si="15"/>
        <v>1</v>
      </c>
    </row>
    <row r="64" spans="1:11" ht="15" customHeight="1">
      <c r="A64" s="113">
        <f t="shared" si="14"/>
        <v>60</v>
      </c>
      <c r="B64" s="106">
        <v>230</v>
      </c>
      <c r="C64" s="107">
        <f t="shared" si="8"/>
        <v>15448</v>
      </c>
      <c r="D64" s="37" t="str">
        <f t="shared" si="9"/>
        <v>Erler, Rudolf</v>
      </c>
      <c r="E64" s="37" t="str">
        <f t="shared" si="10"/>
        <v>ASVC Wieseth</v>
      </c>
      <c r="F64" s="38" t="str">
        <f t="shared" si="11"/>
        <v>BMW E30 325i</v>
      </c>
      <c r="G64" s="38">
        <f t="shared" si="12"/>
        <v>0</v>
      </c>
      <c r="H64" s="38">
        <f t="shared" si="13"/>
        <v>0</v>
      </c>
      <c r="I64" s="105">
        <v>0.03125</v>
      </c>
      <c r="J64" s="117"/>
      <c r="K64" s="154">
        <f t="shared" si="15"/>
        <v>1</v>
      </c>
    </row>
    <row r="65" spans="1:11" ht="15" customHeight="1">
      <c r="A65" s="113">
        <f t="shared" si="14"/>
        <v>61</v>
      </c>
      <c r="B65" s="106">
        <v>232</v>
      </c>
      <c r="C65" s="107">
        <f t="shared" si="8"/>
        <v>15510</v>
      </c>
      <c r="D65" s="37" t="str">
        <f t="shared" si="9"/>
        <v>Erler, Maximilian</v>
      </c>
      <c r="E65" s="37" t="str">
        <f t="shared" si="10"/>
        <v>ASVC Wieseth</v>
      </c>
      <c r="F65" s="38" t="str">
        <f t="shared" si="11"/>
        <v>BMW E30 325i</v>
      </c>
      <c r="G65" s="38">
        <f t="shared" si="12"/>
        <v>0</v>
      </c>
      <c r="H65" s="38">
        <f t="shared" si="13"/>
        <v>0</v>
      </c>
      <c r="I65" s="105">
        <v>0.03125</v>
      </c>
      <c r="J65" s="117"/>
      <c r="K65" s="154">
        <f t="shared" si="15"/>
        <v>1</v>
      </c>
    </row>
    <row r="66" spans="1:11" ht="15" customHeight="1">
      <c r="A66" s="113">
        <f t="shared" si="14"/>
      </c>
      <c r="B66" s="106"/>
      <c r="C66" s="107">
        <f t="shared" si="8"/>
      </c>
      <c r="D66" s="37">
        <f t="shared" si="9"/>
      </c>
      <c r="E66" s="37">
        <f t="shared" si="10"/>
      </c>
      <c r="F66" s="38">
        <f t="shared" si="11"/>
      </c>
      <c r="G66" s="38">
        <f t="shared" si="12"/>
      </c>
      <c r="H66" s="38">
        <f t="shared" si="13"/>
      </c>
      <c r="I66" s="105"/>
      <c r="J66" s="117"/>
      <c r="K66" s="154">
        <f t="shared" si="15"/>
      </c>
    </row>
    <row r="67" spans="1:11" ht="15" customHeight="1">
      <c r="A67" s="113">
        <f t="shared" si="14"/>
      </c>
      <c r="B67" s="106"/>
      <c r="C67" s="107">
        <f t="shared" si="8"/>
      </c>
      <c r="D67" s="37">
        <f t="shared" si="9"/>
      </c>
      <c r="E67" s="37">
        <f t="shared" si="10"/>
      </c>
      <c r="F67" s="38">
        <f t="shared" si="11"/>
      </c>
      <c r="G67" s="38">
        <f t="shared" si="12"/>
      </c>
      <c r="H67" s="38">
        <f t="shared" si="13"/>
      </c>
      <c r="I67" s="105"/>
      <c r="J67" s="117"/>
      <c r="K67" s="154">
        <f t="shared" si="15"/>
      </c>
    </row>
    <row r="68" spans="1:11" ht="15" customHeight="1">
      <c r="A68" s="113">
        <f t="shared" si="14"/>
      </c>
      <c r="B68" s="106"/>
      <c r="C68" s="107">
        <f t="shared" si="8"/>
      </c>
      <c r="D68" s="37">
        <f t="shared" si="9"/>
      </c>
      <c r="E68" s="37">
        <f t="shared" si="10"/>
      </c>
      <c r="F68" s="38">
        <f t="shared" si="11"/>
      </c>
      <c r="G68" s="38">
        <f t="shared" si="12"/>
      </c>
      <c r="H68" s="38">
        <f t="shared" si="13"/>
      </c>
      <c r="I68" s="105"/>
      <c r="J68" s="117"/>
      <c r="K68" s="154">
        <f t="shared" si="15"/>
      </c>
    </row>
    <row r="69" spans="1:11" ht="15" customHeight="1">
      <c r="A69" s="113">
        <f t="shared" si="14"/>
      </c>
      <c r="B69" s="106"/>
      <c r="C69" s="107">
        <f aca="true" t="shared" si="16" ref="C69:C100">IF(ISBLANK(B69),"",VLOOKUP(B69,Starter_Feld,2,FALSE))</f>
      </c>
      <c r="D69" s="37">
        <f aca="true" t="shared" si="17" ref="D69:D102">IF(ISBLANK(B69),"",VLOOKUP(B69,Starter_Feld,3,FALSE))</f>
      </c>
      <c r="E69" s="37">
        <f aca="true" t="shared" si="18" ref="E69:E102">IF(ISBLANK(B69),"",VLOOKUP(B69,Starter_Feld,4,FALSE))</f>
      </c>
      <c r="F69" s="38">
        <f aca="true" t="shared" si="19" ref="F69:F102">IF(ISBLANK(B69),"",VLOOKUP(B69,Starter_Feld,5,FALSE))</f>
      </c>
      <c r="G69" s="38">
        <f aca="true" t="shared" si="20" ref="G69:G102">IF(ISBLANK(B69),"",VLOOKUP(B69,Starter_Feld,7,FALSE))</f>
      </c>
      <c r="H69" s="38">
        <f aca="true" t="shared" si="21" ref="H69:H102">IF(ISBLANK(B69),"",VLOOKUP(B69,Starter_Feld,8,FALSE))</f>
      </c>
      <c r="I69" s="105"/>
      <c r="J69" s="117"/>
      <c r="K69" s="154">
        <f t="shared" si="15"/>
      </c>
    </row>
    <row r="70" spans="1:11" ht="15" customHeight="1">
      <c r="A70" s="113">
        <f t="shared" si="14"/>
      </c>
      <c r="B70" s="106"/>
      <c r="C70" s="107">
        <f t="shared" si="16"/>
      </c>
      <c r="D70" s="37">
        <f t="shared" si="17"/>
      </c>
      <c r="E70" s="37">
        <f t="shared" si="18"/>
      </c>
      <c r="F70" s="38">
        <f t="shared" si="19"/>
      </c>
      <c r="G70" s="38">
        <f t="shared" si="20"/>
      </c>
      <c r="H70" s="38">
        <f t="shared" si="21"/>
      </c>
      <c r="I70" s="105"/>
      <c r="J70" s="117"/>
      <c r="K70" s="154">
        <f t="shared" si="15"/>
      </c>
    </row>
    <row r="71" spans="1:11" ht="15" customHeight="1">
      <c r="A71" s="113">
        <f t="shared" si="14"/>
      </c>
      <c r="B71" s="106"/>
      <c r="C71" s="107">
        <f t="shared" si="16"/>
      </c>
      <c r="D71" s="37">
        <f t="shared" si="17"/>
      </c>
      <c r="E71" s="37">
        <f t="shared" si="18"/>
      </c>
      <c r="F71" s="38">
        <f t="shared" si="19"/>
      </c>
      <c r="G71" s="38">
        <f t="shared" si="20"/>
      </c>
      <c r="H71" s="38">
        <f t="shared" si="21"/>
      </c>
      <c r="I71" s="105"/>
      <c r="J71" s="117"/>
      <c r="K71" s="154">
        <f t="shared" si="15"/>
      </c>
    </row>
    <row r="72" spans="1:11" ht="15" customHeight="1">
      <c r="A72" s="113">
        <f t="shared" si="14"/>
      </c>
      <c r="B72" s="106"/>
      <c r="C72" s="107">
        <f t="shared" si="16"/>
      </c>
      <c r="D72" s="37">
        <f t="shared" si="17"/>
      </c>
      <c r="E72" s="37">
        <f t="shared" si="18"/>
      </c>
      <c r="F72" s="38">
        <f t="shared" si="19"/>
      </c>
      <c r="G72" s="38">
        <f t="shared" si="20"/>
      </c>
      <c r="H72" s="38">
        <f t="shared" si="21"/>
      </c>
      <c r="I72" s="105"/>
      <c r="J72" s="117"/>
      <c r="K72" s="154">
        <f t="shared" si="15"/>
      </c>
    </row>
    <row r="73" spans="1:11" ht="15" customHeight="1">
      <c r="A73" s="113">
        <f t="shared" si="14"/>
      </c>
      <c r="B73" s="106"/>
      <c r="C73" s="107">
        <f t="shared" si="16"/>
      </c>
      <c r="D73" s="37">
        <f t="shared" si="17"/>
      </c>
      <c r="E73" s="37">
        <f t="shared" si="18"/>
      </c>
      <c r="F73" s="38">
        <f t="shared" si="19"/>
      </c>
      <c r="G73" s="38">
        <f t="shared" si="20"/>
      </c>
      <c r="H73" s="38">
        <f t="shared" si="21"/>
      </c>
      <c r="I73" s="105"/>
      <c r="J73" s="117"/>
      <c r="K73" s="154">
        <f t="shared" si="15"/>
      </c>
    </row>
    <row r="74" spans="1:11" ht="15" customHeight="1">
      <c r="A74" s="113">
        <f t="shared" si="14"/>
      </c>
      <c r="B74" s="106"/>
      <c r="C74" s="107">
        <f t="shared" si="16"/>
      </c>
      <c r="D74" s="37">
        <f t="shared" si="17"/>
      </c>
      <c r="E74" s="37">
        <f t="shared" si="18"/>
      </c>
      <c r="F74" s="38">
        <f t="shared" si="19"/>
      </c>
      <c r="G74" s="38">
        <f t="shared" si="20"/>
      </c>
      <c r="H74" s="38">
        <f t="shared" si="21"/>
      </c>
      <c r="I74" s="105"/>
      <c r="J74" s="117"/>
      <c r="K74" s="154">
        <f t="shared" si="15"/>
      </c>
    </row>
    <row r="75" spans="1:11" ht="15" customHeight="1">
      <c r="A75" s="113">
        <f t="shared" si="14"/>
      </c>
      <c r="B75" s="106"/>
      <c r="C75" s="107">
        <f t="shared" si="16"/>
      </c>
      <c r="D75" s="37">
        <f t="shared" si="17"/>
      </c>
      <c r="E75" s="37">
        <f t="shared" si="18"/>
      </c>
      <c r="F75" s="38">
        <f t="shared" si="19"/>
      </c>
      <c r="G75" s="38">
        <f t="shared" si="20"/>
      </c>
      <c r="H75" s="38">
        <f t="shared" si="21"/>
      </c>
      <c r="I75" s="105"/>
      <c r="J75" s="117"/>
      <c r="K75" s="154">
        <f t="shared" si="15"/>
      </c>
    </row>
    <row r="76" spans="1:11" ht="15" customHeight="1">
      <c r="A76" s="113">
        <f t="shared" si="14"/>
      </c>
      <c r="B76" s="106"/>
      <c r="C76" s="107">
        <f t="shared" si="16"/>
      </c>
      <c r="D76" s="37">
        <f t="shared" si="17"/>
      </c>
      <c r="E76" s="37">
        <f t="shared" si="18"/>
      </c>
      <c r="F76" s="38">
        <f t="shared" si="19"/>
      </c>
      <c r="G76" s="38">
        <f t="shared" si="20"/>
      </c>
      <c r="H76" s="38">
        <f t="shared" si="21"/>
      </c>
      <c r="I76" s="105"/>
      <c r="J76" s="117"/>
      <c r="K76" s="154">
        <f t="shared" si="15"/>
      </c>
    </row>
    <row r="77" spans="1:11" ht="15" customHeight="1">
      <c r="A77" s="113">
        <f t="shared" si="14"/>
      </c>
      <c r="B77" s="106"/>
      <c r="C77" s="107">
        <f t="shared" si="16"/>
      </c>
      <c r="D77" s="37">
        <f t="shared" si="17"/>
      </c>
      <c r="E77" s="37">
        <f t="shared" si="18"/>
      </c>
      <c r="F77" s="38">
        <f t="shared" si="19"/>
      </c>
      <c r="G77" s="38">
        <f t="shared" si="20"/>
      </c>
      <c r="H77" s="38">
        <f t="shared" si="21"/>
      </c>
      <c r="I77" s="105"/>
      <c r="J77" s="117"/>
      <c r="K77" s="154">
        <f t="shared" si="15"/>
      </c>
    </row>
    <row r="78" spans="1:11" ht="15" customHeight="1">
      <c r="A78" s="113">
        <f t="shared" si="14"/>
      </c>
      <c r="B78" s="106"/>
      <c r="C78" s="107">
        <f t="shared" si="16"/>
      </c>
      <c r="D78" s="37">
        <f t="shared" si="17"/>
      </c>
      <c r="E78" s="37">
        <f t="shared" si="18"/>
      </c>
      <c r="F78" s="38">
        <f t="shared" si="19"/>
      </c>
      <c r="G78" s="38">
        <f t="shared" si="20"/>
      </c>
      <c r="H78" s="38">
        <f t="shared" si="21"/>
      </c>
      <c r="I78" s="105"/>
      <c r="J78" s="117"/>
      <c r="K78" s="154">
        <f t="shared" si="15"/>
      </c>
    </row>
    <row r="79" spans="1:11" ht="15" customHeight="1">
      <c r="A79" s="113">
        <f t="shared" si="14"/>
      </c>
      <c r="B79" s="106"/>
      <c r="C79" s="107">
        <f t="shared" si="16"/>
      </c>
      <c r="D79" s="37">
        <f t="shared" si="17"/>
      </c>
      <c r="E79" s="37">
        <f t="shared" si="18"/>
      </c>
      <c r="F79" s="38">
        <f t="shared" si="19"/>
      </c>
      <c r="G79" s="38">
        <f t="shared" si="20"/>
      </c>
      <c r="H79" s="38">
        <f t="shared" si="21"/>
      </c>
      <c r="I79" s="105"/>
      <c r="J79" s="117"/>
      <c r="K79" s="154">
        <f t="shared" si="15"/>
      </c>
    </row>
    <row r="80" spans="1:11" ht="15" customHeight="1">
      <c r="A80" s="113">
        <f t="shared" si="14"/>
      </c>
      <c r="B80" s="106"/>
      <c r="C80" s="107">
        <f t="shared" si="16"/>
      </c>
      <c r="D80" s="37">
        <f t="shared" si="17"/>
      </c>
      <c r="E80" s="37">
        <f t="shared" si="18"/>
      </c>
      <c r="F80" s="38">
        <f t="shared" si="19"/>
      </c>
      <c r="G80" s="38">
        <f t="shared" si="20"/>
      </c>
      <c r="H80" s="38">
        <f t="shared" si="21"/>
      </c>
      <c r="I80" s="105"/>
      <c r="J80" s="117"/>
      <c r="K80" s="154">
        <f t="shared" si="15"/>
      </c>
    </row>
    <row r="81" spans="1:11" ht="15" customHeight="1">
      <c r="A81" s="113">
        <f t="shared" si="14"/>
      </c>
      <c r="B81" s="106"/>
      <c r="C81" s="107">
        <f t="shared" si="16"/>
      </c>
      <c r="D81" s="37">
        <f t="shared" si="17"/>
      </c>
      <c r="E81" s="37">
        <f t="shared" si="18"/>
      </c>
      <c r="F81" s="38">
        <f t="shared" si="19"/>
      </c>
      <c r="G81" s="38">
        <f t="shared" si="20"/>
      </c>
      <c r="H81" s="38">
        <f t="shared" si="21"/>
      </c>
      <c r="I81" s="105"/>
      <c r="J81" s="117"/>
      <c r="K81" s="154">
        <f t="shared" si="15"/>
      </c>
    </row>
    <row r="82" spans="1:11" ht="15" customHeight="1">
      <c r="A82" s="113">
        <f t="shared" si="14"/>
      </c>
      <c r="B82" s="106"/>
      <c r="C82" s="107">
        <f t="shared" si="16"/>
      </c>
      <c r="D82" s="37">
        <f t="shared" si="17"/>
      </c>
      <c r="E82" s="37">
        <f t="shared" si="18"/>
      </c>
      <c r="F82" s="38">
        <f t="shared" si="19"/>
      </c>
      <c r="G82" s="38">
        <f t="shared" si="20"/>
      </c>
      <c r="H82" s="38">
        <f t="shared" si="21"/>
      </c>
      <c r="I82" s="105"/>
      <c r="J82" s="117"/>
      <c r="K82" s="154">
        <f t="shared" si="15"/>
      </c>
    </row>
    <row r="83" spans="1:11" ht="15" customHeight="1">
      <c r="A83" s="113">
        <f t="shared" si="14"/>
      </c>
      <c r="B83" s="106"/>
      <c r="C83" s="107">
        <f t="shared" si="16"/>
      </c>
      <c r="D83" s="37">
        <f t="shared" si="17"/>
      </c>
      <c r="E83" s="37">
        <f t="shared" si="18"/>
      </c>
      <c r="F83" s="38">
        <f t="shared" si="19"/>
      </c>
      <c r="G83" s="38">
        <f t="shared" si="20"/>
      </c>
      <c r="H83" s="38">
        <f t="shared" si="21"/>
      </c>
      <c r="I83" s="105"/>
      <c r="J83" s="117"/>
      <c r="K83" s="154">
        <f t="shared" si="15"/>
      </c>
    </row>
    <row r="84" spans="1:11" ht="15" customHeight="1">
      <c r="A84" s="113">
        <f t="shared" si="14"/>
      </c>
      <c r="B84" s="106"/>
      <c r="C84" s="107">
        <f t="shared" si="16"/>
      </c>
      <c r="D84" s="37">
        <f t="shared" si="17"/>
      </c>
      <c r="E84" s="37">
        <f t="shared" si="18"/>
      </c>
      <c r="F84" s="38">
        <f t="shared" si="19"/>
      </c>
      <c r="G84" s="38">
        <f t="shared" si="20"/>
      </c>
      <c r="H84" s="38">
        <f t="shared" si="21"/>
      </c>
      <c r="I84" s="105"/>
      <c r="J84" s="117"/>
      <c r="K84" s="154">
        <f t="shared" si="15"/>
      </c>
    </row>
    <row r="85" spans="1:11" ht="15" customHeight="1">
      <c r="A85" s="113">
        <f t="shared" si="14"/>
      </c>
      <c r="B85" s="106"/>
      <c r="C85" s="107">
        <f t="shared" si="16"/>
      </c>
      <c r="D85" s="37">
        <f t="shared" si="17"/>
      </c>
      <c r="E85" s="37">
        <f t="shared" si="18"/>
      </c>
      <c r="F85" s="38">
        <f t="shared" si="19"/>
      </c>
      <c r="G85" s="38">
        <f t="shared" si="20"/>
      </c>
      <c r="H85" s="38">
        <f t="shared" si="21"/>
      </c>
      <c r="I85" s="105"/>
      <c r="J85" s="117"/>
      <c r="K85" s="154">
        <f t="shared" si="15"/>
      </c>
    </row>
    <row r="86" spans="1:11" ht="15" customHeight="1">
      <c r="A86" s="113">
        <f t="shared" si="14"/>
      </c>
      <c r="B86" s="106"/>
      <c r="C86" s="107">
        <f t="shared" si="16"/>
      </c>
      <c r="D86" s="37">
        <f t="shared" si="17"/>
      </c>
      <c r="E86" s="37">
        <f t="shared" si="18"/>
      </c>
      <c r="F86" s="38">
        <f t="shared" si="19"/>
      </c>
      <c r="G86" s="38">
        <f t="shared" si="20"/>
      </c>
      <c r="H86" s="38">
        <f t="shared" si="21"/>
      </c>
      <c r="I86" s="105"/>
      <c r="J86" s="117"/>
      <c r="K86" s="154">
        <f t="shared" si="15"/>
      </c>
    </row>
    <row r="87" spans="1:11" ht="15" customHeight="1">
      <c r="A87" s="113">
        <f t="shared" si="14"/>
      </c>
      <c r="B87" s="106"/>
      <c r="C87" s="107">
        <f t="shared" si="16"/>
      </c>
      <c r="D87" s="37">
        <f t="shared" si="17"/>
      </c>
      <c r="E87" s="37">
        <f t="shared" si="18"/>
      </c>
      <c r="F87" s="38">
        <f t="shared" si="19"/>
      </c>
      <c r="G87" s="38">
        <f t="shared" si="20"/>
      </c>
      <c r="H87" s="38">
        <f t="shared" si="21"/>
      </c>
      <c r="I87" s="105"/>
      <c r="J87" s="117"/>
      <c r="K87" s="154">
        <f t="shared" si="15"/>
      </c>
    </row>
    <row r="88" spans="1:11" ht="15" customHeight="1">
      <c r="A88" s="113">
        <f t="shared" si="14"/>
      </c>
      <c r="B88" s="106"/>
      <c r="C88" s="107">
        <f t="shared" si="16"/>
      </c>
      <c r="D88" s="37">
        <f t="shared" si="17"/>
      </c>
      <c r="E88" s="37">
        <f t="shared" si="18"/>
      </c>
      <c r="F88" s="38">
        <f t="shared" si="19"/>
      </c>
      <c r="G88" s="38">
        <f t="shared" si="20"/>
      </c>
      <c r="H88" s="38">
        <f t="shared" si="21"/>
      </c>
      <c r="I88" s="105"/>
      <c r="J88" s="117"/>
      <c r="K88" s="154">
        <f t="shared" si="15"/>
      </c>
    </row>
    <row r="89" spans="1:11" ht="15" customHeight="1">
      <c r="A89" s="113">
        <f t="shared" si="14"/>
      </c>
      <c r="B89" s="106"/>
      <c r="C89" s="107">
        <f t="shared" si="16"/>
      </c>
      <c r="D89" s="37">
        <f t="shared" si="17"/>
      </c>
      <c r="E89" s="37">
        <f t="shared" si="18"/>
      </c>
      <c r="F89" s="38">
        <f t="shared" si="19"/>
      </c>
      <c r="G89" s="38">
        <f t="shared" si="20"/>
      </c>
      <c r="H89" s="38">
        <f t="shared" si="21"/>
      </c>
      <c r="I89" s="105"/>
      <c r="J89" s="117"/>
      <c r="K89" s="154">
        <f t="shared" si="15"/>
      </c>
    </row>
    <row r="90" spans="1:11" ht="15" customHeight="1">
      <c r="A90" s="113">
        <f t="shared" si="14"/>
      </c>
      <c r="B90" s="106"/>
      <c r="C90" s="107">
        <f t="shared" si="16"/>
      </c>
      <c r="D90" s="37">
        <f t="shared" si="17"/>
      </c>
      <c r="E90" s="37">
        <f t="shared" si="18"/>
      </c>
      <c r="F90" s="38">
        <f t="shared" si="19"/>
      </c>
      <c r="G90" s="38">
        <f t="shared" si="20"/>
      </c>
      <c r="H90" s="38">
        <f t="shared" si="21"/>
      </c>
      <c r="I90" s="105"/>
      <c r="J90" s="117"/>
      <c r="K90" s="154">
        <f t="shared" si="15"/>
      </c>
    </row>
    <row r="91" spans="1:11" ht="15" customHeight="1">
      <c r="A91" s="113">
        <f t="shared" si="14"/>
      </c>
      <c r="B91" s="106"/>
      <c r="C91" s="107">
        <f t="shared" si="16"/>
      </c>
      <c r="D91" s="37">
        <f t="shared" si="17"/>
      </c>
      <c r="E91" s="37">
        <f t="shared" si="18"/>
      </c>
      <c r="F91" s="38">
        <f t="shared" si="19"/>
      </c>
      <c r="G91" s="38">
        <f t="shared" si="20"/>
      </c>
      <c r="H91" s="38">
        <f t="shared" si="21"/>
      </c>
      <c r="I91" s="105"/>
      <c r="J91" s="117"/>
      <c r="K91" s="154">
        <f t="shared" si="15"/>
      </c>
    </row>
    <row r="92" spans="1:11" ht="15" customHeight="1">
      <c r="A92" s="113">
        <f t="shared" si="14"/>
      </c>
      <c r="B92" s="106"/>
      <c r="C92" s="107">
        <f t="shared" si="16"/>
      </c>
      <c r="D92" s="37">
        <f t="shared" si="17"/>
      </c>
      <c r="E92" s="37">
        <f t="shared" si="18"/>
      </c>
      <c r="F92" s="38">
        <f t="shared" si="19"/>
      </c>
      <c r="G92" s="38">
        <f t="shared" si="20"/>
      </c>
      <c r="H92" s="38">
        <f t="shared" si="21"/>
      </c>
      <c r="I92" s="105"/>
      <c r="J92" s="117"/>
      <c r="K92" s="154">
        <f t="shared" si="15"/>
      </c>
    </row>
    <row r="93" spans="1:11" ht="15" customHeight="1">
      <c r="A93" s="113">
        <f t="shared" si="14"/>
      </c>
      <c r="B93" s="106"/>
      <c r="C93" s="107">
        <f t="shared" si="16"/>
      </c>
      <c r="D93" s="37">
        <f t="shared" si="17"/>
      </c>
      <c r="E93" s="37">
        <f t="shared" si="18"/>
      </c>
      <c r="F93" s="38">
        <f t="shared" si="19"/>
      </c>
      <c r="G93" s="38">
        <f t="shared" si="20"/>
      </c>
      <c r="H93" s="38">
        <f t="shared" si="21"/>
      </c>
      <c r="I93" s="105"/>
      <c r="J93" s="117"/>
      <c r="K93" s="154">
        <f t="shared" si="15"/>
      </c>
    </row>
    <row r="94" spans="1:11" ht="15" customHeight="1">
      <c r="A94" s="113">
        <f t="shared" si="14"/>
      </c>
      <c r="B94" s="106"/>
      <c r="C94" s="107">
        <f t="shared" si="16"/>
      </c>
      <c r="D94" s="37">
        <f t="shared" si="17"/>
      </c>
      <c r="E94" s="37">
        <f t="shared" si="18"/>
      </c>
      <c r="F94" s="38">
        <f t="shared" si="19"/>
      </c>
      <c r="G94" s="38">
        <f t="shared" si="20"/>
      </c>
      <c r="H94" s="38">
        <f t="shared" si="21"/>
      </c>
      <c r="I94" s="105"/>
      <c r="J94" s="117"/>
      <c r="K94" s="154">
        <f t="shared" si="15"/>
      </c>
    </row>
    <row r="95" spans="1:11" ht="15" customHeight="1">
      <c r="A95" s="113">
        <f t="shared" si="14"/>
      </c>
      <c r="B95" s="106"/>
      <c r="C95" s="107">
        <f t="shared" si="16"/>
      </c>
      <c r="D95" s="37">
        <f t="shared" si="17"/>
      </c>
      <c r="E95" s="37">
        <f t="shared" si="18"/>
      </c>
      <c r="F95" s="38">
        <f t="shared" si="19"/>
      </c>
      <c r="G95" s="38">
        <f t="shared" si="20"/>
      </c>
      <c r="H95" s="38">
        <f t="shared" si="21"/>
      </c>
      <c r="I95" s="105"/>
      <c r="J95" s="117"/>
      <c r="K95" s="154">
        <f t="shared" si="15"/>
      </c>
    </row>
    <row r="96" spans="1:11" ht="15" customHeight="1">
      <c r="A96" s="113">
        <f t="shared" si="14"/>
      </c>
      <c r="B96" s="106"/>
      <c r="C96" s="107">
        <f t="shared" si="16"/>
      </c>
      <c r="D96" s="37">
        <f t="shared" si="17"/>
      </c>
      <c r="E96" s="37">
        <f t="shared" si="18"/>
      </c>
      <c r="F96" s="38">
        <f t="shared" si="19"/>
      </c>
      <c r="G96" s="38">
        <f t="shared" si="20"/>
      </c>
      <c r="H96" s="38">
        <f t="shared" si="21"/>
      </c>
      <c r="I96" s="105"/>
      <c r="J96" s="117"/>
      <c r="K96" s="154">
        <f t="shared" si="15"/>
      </c>
    </row>
    <row r="97" spans="1:11" ht="15" customHeight="1">
      <c r="A97" s="113">
        <f t="shared" si="14"/>
      </c>
      <c r="B97" s="106"/>
      <c r="C97" s="107">
        <f t="shared" si="16"/>
      </c>
      <c r="D97" s="37">
        <f t="shared" si="17"/>
      </c>
      <c r="E97" s="37">
        <f t="shared" si="18"/>
      </c>
      <c r="F97" s="38">
        <f t="shared" si="19"/>
      </c>
      <c r="G97" s="38">
        <f t="shared" si="20"/>
      </c>
      <c r="H97" s="38">
        <f t="shared" si="21"/>
      </c>
      <c r="I97" s="105"/>
      <c r="J97" s="117"/>
      <c r="K97" s="154">
        <f t="shared" si="15"/>
      </c>
    </row>
    <row r="98" spans="1:11" ht="15" customHeight="1">
      <c r="A98" s="113">
        <f t="shared" si="14"/>
      </c>
      <c r="B98" s="106"/>
      <c r="C98" s="107">
        <f t="shared" si="16"/>
      </c>
      <c r="D98" s="37">
        <f t="shared" si="17"/>
      </c>
      <c r="E98" s="37">
        <f t="shared" si="18"/>
      </c>
      <c r="F98" s="38">
        <f t="shared" si="19"/>
      </c>
      <c r="G98" s="38">
        <f t="shared" si="20"/>
      </c>
      <c r="H98" s="38">
        <f t="shared" si="21"/>
      </c>
      <c r="I98" s="105"/>
      <c r="J98" s="117"/>
      <c r="K98" s="154">
        <f t="shared" si="15"/>
      </c>
    </row>
    <row r="99" spans="1:11" ht="15" customHeight="1">
      <c r="A99" s="113">
        <f t="shared" si="14"/>
      </c>
      <c r="B99" s="106"/>
      <c r="C99" s="107">
        <f t="shared" si="16"/>
      </c>
      <c r="D99" s="37">
        <f t="shared" si="17"/>
      </c>
      <c r="E99" s="37">
        <f t="shared" si="18"/>
      </c>
      <c r="F99" s="38">
        <f t="shared" si="19"/>
      </c>
      <c r="G99" s="38">
        <f t="shared" si="20"/>
      </c>
      <c r="H99" s="38">
        <f t="shared" si="21"/>
      </c>
      <c r="I99" s="105"/>
      <c r="J99" s="117"/>
      <c r="K99" s="154">
        <f t="shared" si="15"/>
      </c>
    </row>
    <row r="100" spans="1:11" ht="15" customHeight="1">
      <c r="A100" s="113">
        <f t="shared" si="14"/>
      </c>
      <c r="B100" s="106"/>
      <c r="C100" s="107">
        <f t="shared" si="16"/>
      </c>
      <c r="D100" s="37">
        <f t="shared" si="17"/>
      </c>
      <c r="E100" s="37">
        <f t="shared" si="18"/>
      </c>
      <c r="F100" s="38">
        <f t="shared" si="19"/>
      </c>
      <c r="G100" s="38">
        <f t="shared" si="20"/>
      </c>
      <c r="H100" s="38">
        <f t="shared" si="21"/>
      </c>
      <c r="I100" s="105"/>
      <c r="J100" s="117"/>
      <c r="K100" s="154">
        <f t="shared" si="15"/>
      </c>
    </row>
    <row r="101" spans="1:11" ht="15" customHeight="1">
      <c r="A101" s="113">
        <f t="shared" si="14"/>
      </c>
      <c r="B101" s="106"/>
      <c r="C101" s="107">
        <f>IF(ISBLANK(B101),"",VLOOKUP(B101,Starter_Feld,2,FALSE))</f>
      </c>
      <c r="D101" s="37">
        <f t="shared" si="17"/>
      </c>
      <c r="E101" s="37">
        <f t="shared" si="18"/>
      </c>
      <c r="F101" s="38">
        <f t="shared" si="19"/>
      </c>
      <c r="G101" s="38">
        <f t="shared" si="20"/>
      </c>
      <c r="H101" s="38">
        <f t="shared" si="21"/>
      </c>
      <c r="I101" s="105"/>
      <c r="J101" s="117"/>
      <c r="K101" s="154">
        <f t="shared" si="15"/>
      </c>
    </row>
    <row r="102" spans="1:11" ht="15" customHeight="1">
      <c r="A102" s="113">
        <f t="shared" si="14"/>
      </c>
      <c r="B102" s="106"/>
      <c r="C102" s="107">
        <f>IF(ISBLANK(B102),"",VLOOKUP(B102,Starter_Feld,2,FALSE))</f>
      </c>
      <c r="D102" s="37">
        <f t="shared" si="17"/>
      </c>
      <c r="E102" s="37">
        <f t="shared" si="18"/>
      </c>
      <c r="F102" s="38">
        <f t="shared" si="19"/>
      </c>
      <c r="G102" s="38">
        <f t="shared" si="20"/>
      </c>
      <c r="H102" s="38">
        <f t="shared" si="21"/>
      </c>
      <c r="I102" s="105"/>
      <c r="J102" s="117"/>
      <c r="K102" s="154">
        <f t="shared" si="15"/>
      </c>
    </row>
  </sheetData>
  <sheetProtection/>
  <conditionalFormatting sqref="D5:D102">
    <cfRule type="expression" priority="1" dxfId="3" stopIfTrue="1">
      <formula>G5+H5=2</formula>
    </cfRule>
    <cfRule type="expression" priority="2" dxfId="2" stopIfTrue="1">
      <formula>G5=1</formula>
    </cfRule>
    <cfRule type="expression" priority="3" dxfId="1" stopIfTrue="1">
      <formula>H5=1</formula>
    </cfRule>
  </conditionalFormatting>
  <conditionalFormatting sqref="C5:C102">
    <cfRule type="cellIs" priority="4" dxfId="12" operator="equal" stopIfTrue="1">
      <formula>0</formula>
    </cfRule>
  </conditionalFormatting>
  <conditionalFormatting sqref="E5:F102">
    <cfRule type="cellIs" priority="5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0"/>
  <dimension ref="A1:K10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6.28125" style="47" customWidth="1"/>
    <col min="2" max="2" width="6.421875" style="59" customWidth="1"/>
    <col min="3" max="3" width="9.7109375" style="0" customWidth="1"/>
    <col min="4" max="4" width="19.421875" style="0" customWidth="1"/>
    <col min="5" max="5" width="18.421875" style="0" customWidth="1"/>
    <col min="6" max="6" width="14.28125" style="0" customWidth="1"/>
    <col min="7" max="8" width="12.7109375" style="0" hidden="1" customWidth="1"/>
    <col min="9" max="9" width="10.7109375" style="103" customWidth="1"/>
    <col min="10" max="10" width="10.7109375" style="110" hidden="1" customWidth="1"/>
    <col min="11" max="11" width="10.7109375" style="152" hidden="1" customWidth="1"/>
    <col min="12" max="12" width="10.7109375" style="0" customWidth="1"/>
    <col min="13" max="13" width="15.421875" style="0" customWidth="1"/>
  </cols>
  <sheetData>
    <row r="1" spans="1:8" ht="15">
      <c r="A1" s="43"/>
      <c r="B1" s="58"/>
      <c r="C1" s="1"/>
      <c r="D1" s="2"/>
      <c r="E1" s="2"/>
      <c r="F1" s="2"/>
      <c r="G1" s="2"/>
      <c r="H1" s="2"/>
    </row>
    <row r="2" spans="1:9" ht="23.25">
      <c r="A2" s="49" t="s">
        <v>59</v>
      </c>
      <c r="B2" s="60"/>
      <c r="C2" s="50">
        <f>SUM(K5:K102)</f>
        <v>41</v>
      </c>
      <c r="D2" s="101" t="s">
        <v>0</v>
      </c>
      <c r="E2" s="102" t="str">
        <f>IF(ISBLANK(D2),"",VLOOKUP(D2,'Veranst.'!A:C,3,FALSE))</f>
        <v>49. Automobilslalom, MSC Jura 9.7.2016</v>
      </c>
      <c r="F2" s="99"/>
      <c r="G2" s="99"/>
      <c r="H2" s="99"/>
      <c r="I2" s="104"/>
    </row>
    <row r="3" spans="1:8" ht="15.75" thickBot="1">
      <c r="A3" s="43"/>
      <c r="B3" s="58"/>
      <c r="C3" s="1"/>
      <c r="D3" s="2"/>
      <c r="E3" s="2"/>
      <c r="F3" s="2"/>
      <c r="G3" s="2"/>
      <c r="H3" s="2"/>
    </row>
    <row r="4" spans="1:11" s="34" customFormat="1" ht="15" thickBot="1">
      <c r="A4" s="100" t="s">
        <v>1</v>
      </c>
      <c r="B4" s="61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55" t="s">
        <v>62</v>
      </c>
      <c r="H4" s="55" t="s">
        <v>66</v>
      </c>
      <c r="I4" s="108" t="s">
        <v>33</v>
      </c>
      <c r="J4" s="109" t="s">
        <v>61</v>
      </c>
      <c r="K4" s="153"/>
    </row>
    <row r="5" spans="1:11" s="33" customFormat="1" ht="15" customHeight="1">
      <c r="A5" s="112">
        <f>IF(ISBLANK(B5),"",1)</f>
        <v>1</v>
      </c>
      <c r="B5" s="56">
        <v>394</v>
      </c>
      <c r="C5" s="36">
        <f aca="true" t="shared" si="0" ref="C5:C36">IF(ISBLANK(B5),"",VLOOKUP(B5,Starter_Feld,2,FALSE))</f>
        <v>15922</v>
      </c>
      <c r="D5" s="37" t="str">
        <f aca="true" t="shared" si="1" ref="D5:D36">IF(ISBLANK(B5),"",VLOOKUP(B5,Starter_Feld,3,FALSE))</f>
        <v>Koob, Sven</v>
      </c>
      <c r="E5" s="38" t="str">
        <f aca="true" t="shared" si="2" ref="E5:E36">IF(ISBLANK(B5),"",VLOOKUP(B5,Starter_Feld,4,FALSE))</f>
        <v>IMS Schlierbachtal</v>
      </c>
      <c r="F5" s="39" t="str">
        <f aca="true" t="shared" si="3" ref="F5:F36">IF(ISBLANK(B5),"",VLOOKUP(B5,Starter_Feld,5,FALSE))</f>
        <v>Fiat Uno</v>
      </c>
      <c r="G5" s="38">
        <f aca="true" t="shared" si="4" ref="G5:G36">IF(ISBLANK(B5),"",VLOOKUP(B5,Starter_Feld,7,FALSE))</f>
        <v>0</v>
      </c>
      <c r="H5" s="38">
        <f aca="true" t="shared" si="5" ref="H5:H36">IF(ISBLANK(B5),"",VLOOKUP(B5,Starter_Feld,8,FALSE))</f>
        <v>0</v>
      </c>
      <c r="I5" s="105">
        <v>0.000635300925925926</v>
      </c>
      <c r="J5" s="116"/>
      <c r="K5" s="154">
        <f aca="true" t="shared" si="6" ref="K5:K50">IF(ISBLANK(B5),"",1)</f>
        <v>1</v>
      </c>
    </row>
    <row r="6" spans="1:11" s="33" customFormat="1" ht="15" customHeight="1">
      <c r="A6" s="113">
        <f aca="true" t="shared" si="7" ref="A6:A50">IF(ISBLANK(B6),"",A5+1)</f>
        <v>2</v>
      </c>
      <c r="B6" s="57">
        <v>328</v>
      </c>
      <c r="C6" s="36">
        <f t="shared" si="0"/>
        <v>11921</v>
      </c>
      <c r="D6" s="37" t="str">
        <f t="shared" si="1"/>
        <v>Thiel, Karl-Heinz</v>
      </c>
      <c r="E6" s="38" t="str">
        <f t="shared" si="2"/>
        <v>NAC Nittenau</v>
      </c>
      <c r="F6" s="39" t="str">
        <f t="shared" si="3"/>
        <v>Ford Escort</v>
      </c>
      <c r="G6" s="38">
        <f t="shared" si="4"/>
        <v>0</v>
      </c>
      <c r="H6" s="38">
        <f t="shared" si="5"/>
        <v>0</v>
      </c>
      <c r="I6" s="105">
        <v>0.0006469907407407407</v>
      </c>
      <c r="J6" s="117"/>
      <c r="K6" s="154">
        <f t="shared" si="6"/>
        <v>1</v>
      </c>
    </row>
    <row r="7" spans="1:11" s="33" customFormat="1" ht="15" customHeight="1">
      <c r="A7" s="113">
        <f t="shared" si="7"/>
        <v>3</v>
      </c>
      <c r="B7" s="57">
        <v>484</v>
      </c>
      <c r="C7" s="36">
        <f t="shared" si="0"/>
        <v>14234</v>
      </c>
      <c r="D7" s="37" t="str">
        <f t="shared" si="1"/>
        <v>Höppe, Andreas</v>
      </c>
      <c r="E7" s="38" t="str">
        <f t="shared" si="2"/>
        <v>RST Mittelfranken</v>
      </c>
      <c r="F7" s="39" t="str">
        <f t="shared" si="3"/>
        <v>Opel Kadett C Coupé</v>
      </c>
      <c r="G7" s="38">
        <f t="shared" si="4"/>
        <v>0</v>
      </c>
      <c r="H7" s="38">
        <f t="shared" si="5"/>
        <v>0</v>
      </c>
      <c r="I7" s="105">
        <v>0.0006476851851851852</v>
      </c>
      <c r="J7" s="117"/>
      <c r="K7" s="154">
        <f t="shared" si="6"/>
        <v>1</v>
      </c>
    </row>
    <row r="8" spans="1:11" s="33" customFormat="1" ht="15" customHeight="1">
      <c r="A8" s="113">
        <f t="shared" si="7"/>
        <v>4</v>
      </c>
      <c r="B8" s="57">
        <v>237</v>
      </c>
      <c r="C8" s="36">
        <f t="shared" si="0"/>
        <v>14513</v>
      </c>
      <c r="D8" s="37" t="str">
        <f t="shared" si="1"/>
        <v>Zollner, Christian</v>
      </c>
      <c r="E8" s="38" t="str">
        <f t="shared" si="2"/>
        <v>SFK Hansenried</v>
      </c>
      <c r="F8" s="39" t="str">
        <f t="shared" si="3"/>
        <v>NSU TT</v>
      </c>
      <c r="G8" s="38">
        <f t="shared" si="4"/>
        <v>0</v>
      </c>
      <c r="H8" s="38">
        <f t="shared" si="5"/>
        <v>0</v>
      </c>
      <c r="I8" s="105">
        <v>0.000650462962962963</v>
      </c>
      <c r="J8" s="117"/>
      <c r="K8" s="154">
        <f t="shared" si="6"/>
        <v>1</v>
      </c>
    </row>
    <row r="9" spans="1:11" s="33" customFormat="1" ht="15" customHeight="1">
      <c r="A9" s="113">
        <f t="shared" si="7"/>
        <v>5</v>
      </c>
      <c r="B9" s="57">
        <v>103</v>
      </c>
      <c r="C9" s="36">
        <f t="shared" si="0"/>
        <v>12383</v>
      </c>
      <c r="D9" s="37" t="str">
        <f t="shared" si="1"/>
        <v>Beer, Hans</v>
      </c>
      <c r="E9" s="38" t="str">
        <f t="shared" si="2"/>
        <v>MSC Berg</v>
      </c>
      <c r="F9" s="39" t="str">
        <f t="shared" si="3"/>
        <v>VW Polo</v>
      </c>
      <c r="G9" s="38">
        <f t="shared" si="4"/>
        <v>0</v>
      </c>
      <c r="H9" s="38">
        <f t="shared" si="5"/>
        <v>0</v>
      </c>
      <c r="I9" s="105">
        <v>0.0006517361111111112</v>
      </c>
      <c r="J9" s="117"/>
      <c r="K9" s="154">
        <f t="shared" si="6"/>
        <v>1</v>
      </c>
    </row>
    <row r="10" spans="1:11" s="33" customFormat="1" ht="15" customHeight="1">
      <c r="A10" s="113">
        <f t="shared" si="7"/>
        <v>6</v>
      </c>
      <c r="B10" s="57">
        <v>76</v>
      </c>
      <c r="C10" s="36">
        <f t="shared" si="0"/>
        <v>40063</v>
      </c>
      <c r="D10" s="37" t="str">
        <f t="shared" si="1"/>
        <v>Rötzer, Herbert</v>
      </c>
      <c r="E10" s="38" t="str">
        <f t="shared" si="2"/>
        <v>SFK Hansenried</v>
      </c>
      <c r="F10" s="39" t="str">
        <f t="shared" si="3"/>
        <v>NSU TT</v>
      </c>
      <c r="G10" s="38">
        <f t="shared" si="4"/>
        <v>0</v>
      </c>
      <c r="H10" s="38">
        <f t="shared" si="5"/>
        <v>0</v>
      </c>
      <c r="I10" s="105">
        <v>0.0006596064814814815</v>
      </c>
      <c r="J10" s="117"/>
      <c r="K10" s="154">
        <f t="shared" si="6"/>
        <v>1</v>
      </c>
    </row>
    <row r="11" spans="1:11" s="33" customFormat="1" ht="15" customHeight="1">
      <c r="A11" s="113">
        <f t="shared" si="7"/>
        <v>7</v>
      </c>
      <c r="B11" s="57">
        <v>188</v>
      </c>
      <c r="C11" s="36">
        <f t="shared" si="0"/>
        <v>13133</v>
      </c>
      <c r="D11" s="37" t="str">
        <f t="shared" si="1"/>
        <v>Rötzer, Richard</v>
      </c>
      <c r="E11" s="38" t="str">
        <f t="shared" si="2"/>
        <v>SFK Hansenried</v>
      </c>
      <c r="F11" s="39" t="str">
        <f t="shared" si="3"/>
        <v>NSU TT</v>
      </c>
      <c r="G11" s="38">
        <f t="shared" si="4"/>
        <v>0</v>
      </c>
      <c r="H11" s="38">
        <f t="shared" si="5"/>
        <v>0</v>
      </c>
      <c r="I11" s="105">
        <v>0.0006616898148148147</v>
      </c>
      <c r="J11" s="117"/>
      <c r="K11" s="154">
        <f t="shared" si="6"/>
        <v>1</v>
      </c>
    </row>
    <row r="12" spans="1:11" s="33" customFormat="1" ht="15" customHeight="1">
      <c r="A12" s="113">
        <f t="shared" si="7"/>
        <v>8</v>
      </c>
      <c r="B12" s="57">
        <v>126</v>
      </c>
      <c r="C12" s="36">
        <f t="shared" si="0"/>
        <v>20186</v>
      </c>
      <c r="D12" s="37" t="str">
        <f t="shared" si="1"/>
        <v>Scheiderer, Günter</v>
      </c>
      <c r="E12" s="38" t="str">
        <f t="shared" si="2"/>
        <v>SFK Hansenried</v>
      </c>
      <c r="F12" s="39" t="str">
        <f t="shared" si="3"/>
        <v>VW Schneider Polo 16V</v>
      </c>
      <c r="G12" s="38">
        <f t="shared" si="4"/>
        <v>0</v>
      </c>
      <c r="H12" s="38">
        <f t="shared" si="5"/>
        <v>0</v>
      </c>
      <c r="I12" s="105">
        <v>0.0006657407407407407</v>
      </c>
      <c r="J12" s="117"/>
      <c r="K12" s="154">
        <f t="shared" si="6"/>
        <v>1</v>
      </c>
    </row>
    <row r="13" spans="1:11" s="33" customFormat="1" ht="15" customHeight="1">
      <c r="A13" s="113">
        <f t="shared" si="7"/>
        <v>9</v>
      </c>
      <c r="B13" s="57">
        <v>960</v>
      </c>
      <c r="C13" s="36">
        <f t="shared" si="0"/>
        <v>9739</v>
      </c>
      <c r="D13" s="37" t="str">
        <f t="shared" si="1"/>
        <v>Kunz, Helmut</v>
      </c>
      <c r="E13" s="38" t="str">
        <f t="shared" si="2"/>
        <v>MSC Sophienthal</v>
      </c>
      <c r="F13" s="39" t="str">
        <f t="shared" si="3"/>
        <v>NSU TT </v>
      </c>
      <c r="G13" s="38">
        <f t="shared" si="4"/>
        <v>0</v>
      </c>
      <c r="H13" s="38">
        <f t="shared" si="5"/>
        <v>0</v>
      </c>
      <c r="I13" s="105">
        <v>0.0006659722222222222</v>
      </c>
      <c r="J13" s="117"/>
      <c r="K13" s="154">
        <f t="shared" si="6"/>
        <v>1</v>
      </c>
    </row>
    <row r="14" spans="1:11" s="33" customFormat="1" ht="15" customHeight="1">
      <c r="A14" s="113">
        <f t="shared" si="7"/>
        <v>10</v>
      </c>
      <c r="B14" s="57">
        <v>280</v>
      </c>
      <c r="C14" s="36">
        <f t="shared" si="0"/>
        <v>14847</v>
      </c>
      <c r="D14" s="37" t="str">
        <f t="shared" si="1"/>
        <v>Carotenuto, Michele</v>
      </c>
      <c r="E14" s="38" t="str">
        <f t="shared" si="2"/>
        <v>AMSC</v>
      </c>
      <c r="F14" s="39" t="str">
        <f t="shared" si="3"/>
        <v>Opel Kadett</v>
      </c>
      <c r="G14" s="38">
        <f t="shared" si="4"/>
        <v>0</v>
      </c>
      <c r="H14" s="38">
        <f t="shared" si="5"/>
        <v>0</v>
      </c>
      <c r="I14" s="105">
        <v>0.000666550925925926</v>
      </c>
      <c r="J14" s="117"/>
      <c r="K14" s="154">
        <f t="shared" si="6"/>
        <v>1</v>
      </c>
    </row>
    <row r="15" spans="1:11" s="33" customFormat="1" ht="15" customHeight="1">
      <c r="A15" s="113">
        <f t="shared" si="7"/>
        <v>11</v>
      </c>
      <c r="B15" s="57">
        <v>300</v>
      </c>
      <c r="C15" s="36">
        <f t="shared" si="0"/>
        <v>0</v>
      </c>
      <c r="D15" s="37" t="str">
        <f t="shared" si="1"/>
        <v>Feyl, Michael</v>
      </c>
      <c r="E15" s="38" t="str">
        <f t="shared" si="2"/>
        <v>MSC Jura</v>
      </c>
      <c r="F15" s="39" t="str">
        <f t="shared" si="3"/>
        <v>Abarth 1000 TCR</v>
      </c>
      <c r="G15" s="38">
        <f t="shared" si="4"/>
        <v>0</v>
      </c>
      <c r="H15" s="38">
        <f t="shared" si="5"/>
        <v>0</v>
      </c>
      <c r="I15" s="105">
        <v>0.0006726851851851851</v>
      </c>
      <c r="J15" s="117"/>
      <c r="K15" s="154">
        <f t="shared" si="6"/>
        <v>1</v>
      </c>
    </row>
    <row r="16" spans="1:11" s="33" customFormat="1" ht="15" customHeight="1">
      <c r="A16" s="113">
        <f t="shared" si="7"/>
        <v>12</v>
      </c>
      <c r="B16" s="57">
        <v>159</v>
      </c>
      <c r="C16" s="36">
        <f t="shared" si="0"/>
        <v>14498</v>
      </c>
      <c r="D16" s="37" t="str">
        <f t="shared" si="1"/>
        <v>Späth, Michael</v>
      </c>
      <c r="E16" s="38" t="str">
        <f t="shared" si="2"/>
        <v>RST Mittelfranken</v>
      </c>
      <c r="F16" s="39" t="str">
        <f t="shared" si="3"/>
        <v>Opel Kadett C Coupé</v>
      </c>
      <c r="G16" s="38">
        <f t="shared" si="4"/>
        <v>0</v>
      </c>
      <c r="H16" s="38">
        <f t="shared" si="5"/>
        <v>0</v>
      </c>
      <c r="I16" s="105">
        <v>0.0006730324074074073</v>
      </c>
      <c r="J16" s="117"/>
      <c r="K16" s="154">
        <f t="shared" si="6"/>
        <v>1</v>
      </c>
    </row>
    <row r="17" spans="1:11" s="33" customFormat="1" ht="15" customHeight="1">
      <c r="A17" s="113">
        <f t="shared" si="7"/>
        <v>13</v>
      </c>
      <c r="B17" s="57">
        <v>365</v>
      </c>
      <c r="C17" s="36">
        <f t="shared" si="0"/>
        <v>0</v>
      </c>
      <c r="D17" s="37" t="str">
        <f t="shared" si="1"/>
        <v>Nothdurfter, Manfred</v>
      </c>
      <c r="E17" s="38" t="str">
        <f t="shared" si="2"/>
        <v>MSC Kitzbühel</v>
      </c>
      <c r="F17" s="39" t="str">
        <f t="shared" si="3"/>
        <v>Ford Escort RS 2000</v>
      </c>
      <c r="G17" s="38">
        <f t="shared" si="4"/>
        <v>0</v>
      </c>
      <c r="H17" s="38">
        <f t="shared" si="5"/>
        <v>0</v>
      </c>
      <c r="I17" s="105">
        <v>0.0006753472222222223</v>
      </c>
      <c r="J17" s="117"/>
      <c r="K17" s="154">
        <f t="shared" si="6"/>
        <v>1</v>
      </c>
    </row>
    <row r="18" spans="1:11" s="33" customFormat="1" ht="15" customHeight="1">
      <c r="A18" s="113">
        <f t="shared" si="7"/>
        <v>14</v>
      </c>
      <c r="B18" s="57">
        <v>12</v>
      </c>
      <c r="C18" s="36">
        <f t="shared" si="0"/>
        <v>20074</v>
      </c>
      <c r="D18" s="37" t="str">
        <f t="shared" si="1"/>
        <v>Enderlein, Johannes</v>
      </c>
      <c r="E18" s="38" t="str">
        <f t="shared" si="2"/>
        <v>MSC Jura</v>
      </c>
      <c r="F18" s="39" t="str">
        <f t="shared" si="3"/>
        <v>Opel Kadett C Coupé</v>
      </c>
      <c r="G18" s="38">
        <f t="shared" si="4"/>
        <v>0</v>
      </c>
      <c r="H18" s="38">
        <f t="shared" si="5"/>
        <v>0</v>
      </c>
      <c r="I18" s="105">
        <v>0.0006769675925925926</v>
      </c>
      <c r="J18" s="117"/>
      <c r="K18" s="154">
        <f t="shared" si="6"/>
        <v>1</v>
      </c>
    </row>
    <row r="19" spans="1:11" s="33" customFormat="1" ht="15" customHeight="1">
      <c r="A19" s="113">
        <f t="shared" si="7"/>
        <v>15</v>
      </c>
      <c r="B19" s="57">
        <v>168</v>
      </c>
      <c r="C19" s="36">
        <f t="shared" si="0"/>
        <v>15291</v>
      </c>
      <c r="D19" s="37" t="str">
        <f t="shared" si="1"/>
        <v>Küpper, Tobias</v>
      </c>
      <c r="E19" s="38" t="str">
        <f t="shared" si="2"/>
        <v>Chaosteam Motorsport</v>
      </c>
      <c r="F19" s="39" t="str">
        <f t="shared" si="3"/>
        <v>VW Golf 1</v>
      </c>
      <c r="G19" s="38">
        <f t="shared" si="4"/>
        <v>0</v>
      </c>
      <c r="H19" s="38">
        <f t="shared" si="5"/>
        <v>0</v>
      </c>
      <c r="I19" s="105">
        <v>0.0006805555555555554</v>
      </c>
      <c r="J19" s="117"/>
      <c r="K19" s="154">
        <f t="shared" si="6"/>
        <v>1</v>
      </c>
    </row>
    <row r="20" spans="1:11" s="33" customFormat="1" ht="15" customHeight="1">
      <c r="A20" s="113">
        <f t="shared" si="7"/>
        <v>16</v>
      </c>
      <c r="B20" s="57">
        <v>458</v>
      </c>
      <c r="C20" s="36">
        <f t="shared" si="0"/>
        <v>20208</v>
      </c>
      <c r="D20" s="37" t="str">
        <f t="shared" si="1"/>
        <v>Link, Christian</v>
      </c>
      <c r="E20" s="38" t="str">
        <f t="shared" si="2"/>
        <v>RHT Rohrenstadt</v>
      </c>
      <c r="F20" s="39" t="str">
        <f t="shared" si="3"/>
        <v>VW Polo</v>
      </c>
      <c r="G20" s="38">
        <f t="shared" si="4"/>
        <v>0</v>
      </c>
      <c r="H20" s="38">
        <f t="shared" si="5"/>
        <v>0</v>
      </c>
      <c r="I20" s="105">
        <v>0.0006840324074074074</v>
      </c>
      <c r="J20" s="117"/>
      <c r="K20" s="154">
        <f t="shared" si="6"/>
        <v>1</v>
      </c>
    </row>
    <row r="21" spans="1:11" s="33" customFormat="1" ht="15" customHeight="1">
      <c r="A21" s="113">
        <f t="shared" si="7"/>
        <v>17</v>
      </c>
      <c r="B21" s="57">
        <v>236</v>
      </c>
      <c r="C21" s="36">
        <f t="shared" si="0"/>
        <v>0</v>
      </c>
      <c r="D21" s="37" t="str">
        <f t="shared" si="1"/>
        <v>Kunz, Marco</v>
      </c>
      <c r="E21" s="38">
        <f t="shared" si="2"/>
        <v>0</v>
      </c>
      <c r="F21" s="39" t="str">
        <f t="shared" si="3"/>
        <v>VW Polo</v>
      </c>
      <c r="G21" s="38">
        <f t="shared" si="4"/>
        <v>0</v>
      </c>
      <c r="H21" s="38">
        <f t="shared" si="5"/>
        <v>0</v>
      </c>
      <c r="I21" s="105">
        <v>0.0006846064814814815</v>
      </c>
      <c r="J21" s="117"/>
      <c r="K21" s="154">
        <f t="shared" si="6"/>
        <v>1</v>
      </c>
    </row>
    <row r="22" spans="1:11" s="33" customFormat="1" ht="15" customHeight="1">
      <c r="A22" s="113">
        <f t="shared" si="7"/>
        <v>18</v>
      </c>
      <c r="B22" s="57">
        <v>576</v>
      </c>
      <c r="C22" s="36">
        <f t="shared" si="0"/>
        <v>0</v>
      </c>
      <c r="D22" s="37" t="str">
        <f t="shared" si="1"/>
        <v>Wiedmann, Günther</v>
      </c>
      <c r="E22" s="38" t="str">
        <f t="shared" si="2"/>
        <v>MSC Frickenhofer Höhe</v>
      </c>
      <c r="F22" s="39" t="str">
        <f t="shared" si="3"/>
        <v>Opel Kadett C</v>
      </c>
      <c r="G22" s="38">
        <f t="shared" si="4"/>
        <v>0</v>
      </c>
      <c r="H22" s="38">
        <f t="shared" si="5"/>
        <v>0</v>
      </c>
      <c r="I22" s="105">
        <v>0.0006846064814814815</v>
      </c>
      <c r="J22" s="117"/>
      <c r="K22" s="154">
        <f t="shared" si="6"/>
        <v>1</v>
      </c>
    </row>
    <row r="23" spans="1:11" s="33" customFormat="1" ht="15" customHeight="1">
      <c r="A23" s="113">
        <f t="shared" si="7"/>
        <v>19</v>
      </c>
      <c r="B23" s="57">
        <v>156</v>
      </c>
      <c r="C23" s="36">
        <f t="shared" si="0"/>
        <v>0</v>
      </c>
      <c r="D23" s="37" t="str">
        <f t="shared" si="1"/>
        <v>Huber, Harald</v>
      </c>
      <c r="E23" s="38" t="str">
        <f t="shared" si="2"/>
        <v>NAC Amberg</v>
      </c>
      <c r="F23" s="39" t="str">
        <f t="shared" si="3"/>
        <v>Opel Kadett C Coupé</v>
      </c>
      <c r="G23" s="38">
        <f t="shared" si="4"/>
        <v>0</v>
      </c>
      <c r="H23" s="38">
        <f t="shared" si="5"/>
        <v>0</v>
      </c>
      <c r="I23" s="105">
        <v>0.0006939814814814815</v>
      </c>
      <c r="J23" s="117"/>
      <c r="K23" s="154">
        <f t="shared" si="6"/>
        <v>1</v>
      </c>
    </row>
    <row r="24" spans="1:11" s="33" customFormat="1" ht="15" customHeight="1">
      <c r="A24" s="113">
        <f t="shared" si="7"/>
        <v>20</v>
      </c>
      <c r="B24" s="57">
        <v>32</v>
      </c>
      <c r="C24" s="36">
        <f t="shared" si="0"/>
        <v>0</v>
      </c>
      <c r="D24" s="37" t="str">
        <f t="shared" si="1"/>
        <v>Ritter, Steffen</v>
      </c>
      <c r="E24" s="38" t="str">
        <f t="shared" si="2"/>
        <v>MSC Aalen</v>
      </c>
      <c r="F24" s="39" t="str">
        <f t="shared" si="3"/>
        <v>Opel Corsa A GSI</v>
      </c>
      <c r="G24" s="38">
        <f t="shared" si="4"/>
        <v>0</v>
      </c>
      <c r="H24" s="38">
        <f t="shared" si="5"/>
        <v>0</v>
      </c>
      <c r="I24" s="105">
        <v>0.000696875</v>
      </c>
      <c r="J24" s="117"/>
      <c r="K24" s="154">
        <f t="shared" si="6"/>
        <v>1</v>
      </c>
    </row>
    <row r="25" spans="1:11" s="33" customFormat="1" ht="15" customHeight="1">
      <c r="A25" s="113">
        <f t="shared" si="7"/>
        <v>21</v>
      </c>
      <c r="B25" s="57">
        <v>470</v>
      </c>
      <c r="C25" s="36">
        <f t="shared" si="0"/>
        <v>40043</v>
      </c>
      <c r="D25" s="37" t="str">
        <f t="shared" si="1"/>
        <v>Turban, Josef</v>
      </c>
      <c r="E25" s="38" t="str">
        <f t="shared" si="2"/>
        <v>SFK Hansenried</v>
      </c>
      <c r="F25" s="39" t="str">
        <f t="shared" si="3"/>
        <v>VW Polo</v>
      </c>
      <c r="G25" s="38">
        <f t="shared" si="4"/>
        <v>0</v>
      </c>
      <c r="H25" s="38">
        <f t="shared" si="5"/>
        <v>0</v>
      </c>
      <c r="I25" s="105">
        <v>0.0007070648148148149</v>
      </c>
      <c r="J25" s="117"/>
      <c r="K25" s="154">
        <f t="shared" si="6"/>
        <v>1</v>
      </c>
    </row>
    <row r="26" spans="1:11" s="33" customFormat="1" ht="15" customHeight="1">
      <c r="A26" s="113">
        <f t="shared" si="7"/>
        <v>22</v>
      </c>
      <c r="B26" s="57">
        <v>157</v>
      </c>
      <c r="C26" s="36">
        <f t="shared" si="0"/>
        <v>12917</v>
      </c>
      <c r="D26" s="37" t="str">
        <f t="shared" si="1"/>
        <v>Grosch, Oliver</v>
      </c>
      <c r="E26" s="38" t="str">
        <f t="shared" si="2"/>
        <v>NAC Amberg</v>
      </c>
      <c r="F26" s="39" t="str">
        <f t="shared" si="3"/>
        <v>Opel Kadett C Coupé</v>
      </c>
      <c r="G26" s="38">
        <f t="shared" si="4"/>
        <v>0</v>
      </c>
      <c r="H26" s="38">
        <f t="shared" si="5"/>
        <v>0</v>
      </c>
      <c r="I26" s="105">
        <v>0.0007072916666666667</v>
      </c>
      <c r="J26" s="117"/>
      <c r="K26" s="154">
        <f t="shared" si="6"/>
        <v>1</v>
      </c>
    </row>
    <row r="27" spans="1:11" s="33" customFormat="1" ht="15" customHeight="1">
      <c r="A27" s="113">
        <f t="shared" si="7"/>
        <v>23</v>
      </c>
      <c r="B27" s="57">
        <v>64</v>
      </c>
      <c r="C27" s="36">
        <f t="shared" si="0"/>
        <v>15548</v>
      </c>
      <c r="D27" s="37" t="str">
        <f t="shared" si="1"/>
        <v>Kehlenbeck, Frank</v>
      </c>
      <c r="E27" s="38" t="str">
        <f t="shared" si="2"/>
        <v>ASC Rheingau</v>
      </c>
      <c r="F27" s="39" t="str">
        <f t="shared" si="3"/>
        <v>Fiat Abarth 1000 TC</v>
      </c>
      <c r="G27" s="38">
        <f t="shared" si="4"/>
        <v>0</v>
      </c>
      <c r="H27" s="38">
        <f t="shared" si="5"/>
        <v>0</v>
      </c>
      <c r="I27" s="105">
        <v>0.0007103009259259259</v>
      </c>
      <c r="J27" s="117"/>
      <c r="K27" s="154">
        <f t="shared" si="6"/>
        <v>1</v>
      </c>
    </row>
    <row r="28" spans="1:11" s="33" customFormat="1" ht="15" customHeight="1">
      <c r="A28" s="113">
        <f t="shared" si="7"/>
        <v>24</v>
      </c>
      <c r="B28" s="57">
        <v>111</v>
      </c>
      <c r="C28" s="36">
        <f t="shared" si="0"/>
        <v>0</v>
      </c>
      <c r="D28" s="37" t="str">
        <f t="shared" si="1"/>
        <v>Kürzdörfer, Harry</v>
      </c>
      <c r="E28" s="38" t="str">
        <f t="shared" si="2"/>
        <v>MSC Sophienthal</v>
      </c>
      <c r="F28" s="39" t="str">
        <f t="shared" si="3"/>
        <v>NSU TTS</v>
      </c>
      <c r="G28" s="38">
        <f t="shared" si="4"/>
        <v>0</v>
      </c>
      <c r="H28" s="38">
        <f t="shared" si="5"/>
        <v>0</v>
      </c>
      <c r="I28" s="105">
        <v>0.0007174768518518518</v>
      </c>
      <c r="J28" s="117"/>
      <c r="K28" s="154">
        <f t="shared" si="6"/>
        <v>1</v>
      </c>
    </row>
    <row r="29" spans="1:11" s="33" customFormat="1" ht="15" customHeight="1">
      <c r="A29" s="113">
        <f t="shared" si="7"/>
        <v>25</v>
      </c>
      <c r="B29" s="57">
        <v>81</v>
      </c>
      <c r="C29" s="36">
        <f t="shared" si="0"/>
        <v>15242</v>
      </c>
      <c r="D29" s="37" t="str">
        <f t="shared" si="1"/>
        <v>Rausch, Ralf</v>
      </c>
      <c r="E29" s="38" t="str">
        <f t="shared" si="2"/>
        <v>MSC Jura</v>
      </c>
      <c r="F29" s="39" t="str">
        <f t="shared" si="3"/>
        <v>Ford Fiesta </v>
      </c>
      <c r="G29" s="38">
        <f t="shared" si="4"/>
        <v>0</v>
      </c>
      <c r="H29" s="38">
        <f t="shared" si="5"/>
        <v>0</v>
      </c>
      <c r="I29" s="105">
        <v>0.0007189814814814816</v>
      </c>
      <c r="J29" s="117"/>
      <c r="K29" s="154">
        <f t="shared" si="6"/>
        <v>1</v>
      </c>
    </row>
    <row r="30" spans="1:11" s="33" customFormat="1" ht="15" customHeight="1">
      <c r="A30" s="113">
        <f t="shared" si="7"/>
        <v>26</v>
      </c>
      <c r="B30" s="57">
        <v>555</v>
      </c>
      <c r="C30" s="36">
        <f t="shared" si="0"/>
        <v>13446</v>
      </c>
      <c r="D30" s="37" t="str">
        <f t="shared" si="1"/>
        <v>Suhr, Ronnie</v>
      </c>
      <c r="E30" s="38" t="str">
        <f t="shared" si="2"/>
        <v>RG Saar Pfalz</v>
      </c>
      <c r="F30" s="39" t="str">
        <f t="shared" si="3"/>
        <v>VW Golf GTI</v>
      </c>
      <c r="G30" s="38">
        <f t="shared" si="4"/>
        <v>0</v>
      </c>
      <c r="H30" s="38">
        <f t="shared" si="5"/>
        <v>0</v>
      </c>
      <c r="I30" s="105">
        <v>0.0007238425925925927</v>
      </c>
      <c r="J30" s="117"/>
      <c r="K30" s="154">
        <f t="shared" si="6"/>
        <v>1</v>
      </c>
    </row>
    <row r="31" spans="1:11" s="33" customFormat="1" ht="15" customHeight="1">
      <c r="A31" s="113">
        <f t="shared" si="7"/>
        <v>27</v>
      </c>
      <c r="B31" s="57">
        <v>26</v>
      </c>
      <c r="C31" s="36">
        <f t="shared" si="0"/>
        <v>15530</v>
      </c>
      <c r="D31" s="37" t="str">
        <f t="shared" si="1"/>
        <v>Horänder, Stefan</v>
      </c>
      <c r="E31" s="38" t="str">
        <f t="shared" si="2"/>
        <v>SFK Hansenried</v>
      </c>
      <c r="F31" s="39" t="str">
        <f t="shared" si="3"/>
        <v>VW Polo Schneider 16V</v>
      </c>
      <c r="G31" s="38">
        <f t="shared" si="4"/>
        <v>0</v>
      </c>
      <c r="H31" s="38">
        <f t="shared" si="5"/>
        <v>0</v>
      </c>
      <c r="I31" s="105">
        <v>0.0007320648148148148</v>
      </c>
      <c r="J31" s="117"/>
      <c r="K31" s="154">
        <f t="shared" si="6"/>
        <v>1</v>
      </c>
    </row>
    <row r="32" spans="1:11" s="33" customFormat="1" ht="15" customHeight="1">
      <c r="A32" s="113">
        <f t="shared" si="7"/>
        <v>28</v>
      </c>
      <c r="B32" s="57">
        <v>969</v>
      </c>
      <c r="C32" s="36">
        <f t="shared" si="0"/>
        <v>14889</v>
      </c>
      <c r="D32" s="37" t="str">
        <f t="shared" si="1"/>
        <v>Eisen, Mathias</v>
      </c>
      <c r="E32" s="38" t="str">
        <f t="shared" si="2"/>
        <v>AC Gunzenhausen</v>
      </c>
      <c r="F32" s="39" t="str">
        <f t="shared" si="3"/>
        <v>Fiat Cinquecento</v>
      </c>
      <c r="G32" s="38">
        <f t="shared" si="4"/>
        <v>0</v>
      </c>
      <c r="H32" s="38">
        <f t="shared" si="5"/>
        <v>0</v>
      </c>
      <c r="I32" s="105">
        <v>0.0007432870370370371</v>
      </c>
      <c r="J32" s="117"/>
      <c r="K32" s="154">
        <f t="shared" si="6"/>
        <v>1</v>
      </c>
    </row>
    <row r="33" spans="1:11" s="33" customFormat="1" ht="15" customHeight="1">
      <c r="A33" s="113">
        <f t="shared" si="7"/>
        <v>29</v>
      </c>
      <c r="B33" s="57">
        <v>320</v>
      </c>
      <c r="C33" s="36">
        <f t="shared" si="0"/>
        <v>15874</v>
      </c>
      <c r="D33" s="37" t="str">
        <f t="shared" si="1"/>
        <v>Schmidt, Carsten</v>
      </c>
      <c r="E33" s="38" t="str">
        <f t="shared" si="2"/>
        <v>MSC Berg</v>
      </c>
      <c r="F33" s="39" t="str">
        <f t="shared" si="3"/>
        <v>BMW E30</v>
      </c>
      <c r="G33" s="38">
        <f t="shared" si="4"/>
        <v>1</v>
      </c>
      <c r="H33" s="38">
        <f t="shared" si="5"/>
        <v>0</v>
      </c>
      <c r="I33" s="105">
        <v>0.0007459490740740741</v>
      </c>
      <c r="J33" s="117"/>
      <c r="K33" s="154">
        <f t="shared" si="6"/>
        <v>1</v>
      </c>
    </row>
    <row r="34" spans="1:11" s="33" customFormat="1" ht="15" customHeight="1">
      <c r="A34" s="113">
        <f t="shared" si="7"/>
        <v>30</v>
      </c>
      <c r="B34" s="57">
        <v>811</v>
      </c>
      <c r="C34" s="36">
        <f t="shared" si="0"/>
        <v>15499</v>
      </c>
      <c r="D34" s="37" t="str">
        <f t="shared" si="1"/>
        <v>Schmid, Barbara</v>
      </c>
      <c r="E34" s="38" t="str">
        <f t="shared" si="2"/>
        <v>MSC Jura</v>
      </c>
      <c r="F34" s="39" t="str">
        <f t="shared" si="3"/>
        <v>Ford Fiesta</v>
      </c>
      <c r="G34" s="38">
        <f t="shared" si="4"/>
        <v>0</v>
      </c>
      <c r="H34" s="38">
        <f t="shared" si="5"/>
        <v>1</v>
      </c>
      <c r="I34" s="105">
        <v>0.000755787037037037</v>
      </c>
      <c r="J34" s="117"/>
      <c r="K34" s="154">
        <f t="shared" si="6"/>
        <v>1</v>
      </c>
    </row>
    <row r="35" spans="1:11" ht="15" customHeight="1">
      <c r="A35" s="113">
        <f t="shared" si="7"/>
        <v>31</v>
      </c>
      <c r="B35" s="106">
        <v>350</v>
      </c>
      <c r="C35" s="107">
        <f t="shared" si="0"/>
        <v>15377</v>
      </c>
      <c r="D35" s="37" t="str">
        <f t="shared" si="1"/>
        <v>Stangneth, Heinz</v>
      </c>
      <c r="E35" s="37" t="str">
        <f t="shared" si="2"/>
        <v>SFK Hansenried</v>
      </c>
      <c r="F35" s="38" t="str">
        <f t="shared" si="3"/>
        <v>NSU TT</v>
      </c>
      <c r="G35" s="38">
        <f t="shared" si="4"/>
        <v>0</v>
      </c>
      <c r="H35" s="38">
        <f t="shared" si="5"/>
        <v>0</v>
      </c>
      <c r="I35" s="105">
        <v>0.0007811342592592593</v>
      </c>
      <c r="J35" s="117"/>
      <c r="K35" s="154">
        <f t="shared" si="6"/>
        <v>1</v>
      </c>
    </row>
    <row r="36" spans="1:11" ht="15" customHeight="1">
      <c r="A36" s="113">
        <f t="shared" si="7"/>
        <v>32</v>
      </c>
      <c r="B36" s="106">
        <v>461</v>
      </c>
      <c r="C36" s="107">
        <f t="shared" si="0"/>
        <v>12775</v>
      </c>
      <c r="D36" s="37" t="str">
        <f t="shared" si="1"/>
        <v>Kratzer, Stefan</v>
      </c>
      <c r="E36" s="37" t="str">
        <f t="shared" si="2"/>
        <v>SFK Hansenried</v>
      </c>
      <c r="F36" s="38" t="str">
        <f t="shared" si="3"/>
        <v>VW Polo</v>
      </c>
      <c r="G36" s="38">
        <f t="shared" si="4"/>
        <v>0</v>
      </c>
      <c r="H36" s="38">
        <f t="shared" si="5"/>
        <v>0</v>
      </c>
      <c r="I36" s="105">
        <v>0.0007836851851851851</v>
      </c>
      <c r="J36" s="117"/>
      <c r="K36" s="154">
        <f t="shared" si="6"/>
        <v>1</v>
      </c>
    </row>
    <row r="37" spans="1:11" ht="15" customHeight="1">
      <c r="A37" s="113">
        <f t="shared" si="7"/>
        <v>33</v>
      </c>
      <c r="B37" s="106">
        <v>408</v>
      </c>
      <c r="C37" s="107">
        <f aca="true" t="shared" si="8" ref="C37:C68">IF(ISBLANK(B37),"",VLOOKUP(B37,Starter_Feld,2,FALSE))</f>
        <v>15432</v>
      </c>
      <c r="D37" s="37" t="str">
        <f aca="true" t="shared" si="9" ref="D37:D68">IF(ISBLANK(B37),"",VLOOKUP(B37,Starter_Feld,3,FALSE))</f>
        <v>Eisen, Angelika</v>
      </c>
      <c r="E37" s="37" t="str">
        <f aca="true" t="shared" si="10" ref="E37:E68">IF(ISBLANK(B37),"",VLOOKUP(B37,Starter_Feld,4,FALSE))</f>
        <v>AC Gunzenhausen</v>
      </c>
      <c r="F37" s="38" t="str">
        <f aca="true" t="shared" si="11" ref="F37:F68">IF(ISBLANK(B37),"",VLOOKUP(B37,Starter_Feld,5,FALSE))</f>
        <v>Fiat Cinquecento</v>
      </c>
      <c r="G37" s="38">
        <f aca="true" t="shared" si="12" ref="G37:G68">IF(ISBLANK(B37),"",VLOOKUP(B37,Starter_Feld,7,FALSE))</f>
        <v>0</v>
      </c>
      <c r="H37" s="38">
        <f aca="true" t="shared" si="13" ref="H37:H68">IF(ISBLANK(B37),"",VLOOKUP(B37,Starter_Feld,8,FALSE))</f>
        <v>1</v>
      </c>
      <c r="I37" s="105">
        <v>0.0007842592592592593</v>
      </c>
      <c r="J37" s="117"/>
      <c r="K37" s="154">
        <f t="shared" si="6"/>
        <v>1</v>
      </c>
    </row>
    <row r="38" spans="1:11" ht="15" customHeight="1">
      <c r="A38" s="113">
        <f t="shared" si="7"/>
        <v>34</v>
      </c>
      <c r="B38" s="106">
        <v>395</v>
      </c>
      <c r="C38" s="107">
        <f t="shared" si="8"/>
        <v>0</v>
      </c>
      <c r="D38" s="37" t="str">
        <f t="shared" si="9"/>
        <v>Dietze, Harald</v>
      </c>
      <c r="E38" s="37" t="str">
        <f t="shared" si="10"/>
        <v>Scuderia Topolino</v>
      </c>
      <c r="F38" s="38" t="str">
        <f t="shared" si="11"/>
        <v>Fiat Abarth 1000 TCR</v>
      </c>
      <c r="G38" s="38">
        <f t="shared" si="12"/>
        <v>0</v>
      </c>
      <c r="H38" s="38">
        <f t="shared" si="13"/>
        <v>0</v>
      </c>
      <c r="I38" s="105">
        <v>0.0007884259259259259</v>
      </c>
      <c r="J38" s="117"/>
      <c r="K38" s="154">
        <f t="shared" si="6"/>
        <v>1</v>
      </c>
    </row>
    <row r="39" spans="1:11" ht="15" customHeight="1">
      <c r="A39" s="113">
        <f t="shared" si="7"/>
        <v>35</v>
      </c>
      <c r="B39" s="106">
        <v>520</v>
      </c>
      <c r="C39" s="107">
        <f t="shared" si="8"/>
        <v>15211</v>
      </c>
      <c r="D39" s="37" t="str">
        <f t="shared" si="9"/>
        <v>Hentschel, Patrick</v>
      </c>
      <c r="E39" s="37">
        <f t="shared" si="10"/>
        <v>0</v>
      </c>
      <c r="F39" s="38" t="str">
        <f t="shared" si="11"/>
        <v>Renault R5</v>
      </c>
      <c r="G39" s="38">
        <f t="shared" si="12"/>
        <v>0</v>
      </c>
      <c r="H39" s="38">
        <f t="shared" si="13"/>
        <v>0</v>
      </c>
      <c r="I39" s="105">
        <v>0.0008072962962962962</v>
      </c>
      <c r="J39" s="117"/>
      <c r="K39" s="154">
        <f t="shared" si="6"/>
        <v>1</v>
      </c>
    </row>
    <row r="40" spans="1:11" ht="15" customHeight="1">
      <c r="A40" s="113">
        <f t="shared" si="7"/>
        <v>36</v>
      </c>
      <c r="B40" s="106">
        <v>333</v>
      </c>
      <c r="C40" s="107">
        <f t="shared" si="8"/>
        <v>0</v>
      </c>
      <c r="D40" s="37" t="str">
        <f t="shared" si="9"/>
        <v>Langwieser, Dietmar</v>
      </c>
      <c r="E40" s="37" t="str">
        <f t="shared" si="10"/>
        <v>Bavarian Drag Race Club</v>
      </c>
      <c r="F40" s="38" t="str">
        <f t="shared" si="11"/>
        <v>BMW 1602</v>
      </c>
      <c r="G40" s="38">
        <f t="shared" si="12"/>
        <v>0</v>
      </c>
      <c r="H40" s="38">
        <f t="shared" si="13"/>
        <v>0</v>
      </c>
      <c r="I40" s="105">
        <v>0.0008125092592592593</v>
      </c>
      <c r="J40" s="117"/>
      <c r="K40" s="154">
        <f t="shared" si="6"/>
        <v>1</v>
      </c>
    </row>
    <row r="41" spans="1:11" ht="15" customHeight="1">
      <c r="A41" s="113">
        <f t="shared" si="7"/>
        <v>37</v>
      </c>
      <c r="B41" s="106">
        <v>518</v>
      </c>
      <c r="C41" s="107">
        <f t="shared" si="8"/>
        <v>0</v>
      </c>
      <c r="D41" s="37" t="str">
        <f t="shared" si="9"/>
        <v>Raßhofer, Christian </v>
      </c>
      <c r="E41" s="37" t="str">
        <f t="shared" si="10"/>
        <v>MSC Kitzbühel</v>
      </c>
      <c r="F41" s="38" t="str">
        <f t="shared" si="11"/>
        <v>VW Polo 86 C</v>
      </c>
      <c r="G41" s="38">
        <f t="shared" si="12"/>
        <v>0</v>
      </c>
      <c r="H41" s="38">
        <f t="shared" si="13"/>
        <v>0</v>
      </c>
      <c r="I41" s="105">
        <v>0.0008252314814814816</v>
      </c>
      <c r="J41" s="117"/>
      <c r="K41" s="154">
        <f t="shared" si="6"/>
        <v>1</v>
      </c>
    </row>
    <row r="42" spans="1:11" ht="15" customHeight="1">
      <c r="A42" s="113">
        <f t="shared" si="7"/>
        <v>38</v>
      </c>
      <c r="B42" s="106">
        <v>407</v>
      </c>
      <c r="C42" s="107">
        <f t="shared" si="8"/>
        <v>0</v>
      </c>
      <c r="D42" s="37" t="str">
        <f t="shared" si="9"/>
        <v>Hoffmann, Christian</v>
      </c>
      <c r="E42" s="37" t="str">
        <f t="shared" si="10"/>
        <v>AC Gunzenhausen</v>
      </c>
      <c r="F42" s="38" t="str">
        <f t="shared" si="11"/>
        <v>VW Polo 86 C G40 Turbo</v>
      </c>
      <c r="G42" s="38">
        <f t="shared" si="12"/>
        <v>0</v>
      </c>
      <c r="H42" s="38">
        <f t="shared" si="13"/>
        <v>0</v>
      </c>
      <c r="I42" s="105">
        <v>0.0008294027777777778</v>
      </c>
      <c r="J42" s="117"/>
      <c r="K42" s="154">
        <f t="shared" si="6"/>
        <v>1</v>
      </c>
    </row>
    <row r="43" spans="1:11" ht="15" customHeight="1">
      <c r="A43" s="113">
        <f t="shared" si="7"/>
        <v>39</v>
      </c>
      <c r="B43" s="106">
        <v>327</v>
      </c>
      <c r="C43" s="107">
        <f t="shared" si="8"/>
        <v>0</v>
      </c>
      <c r="D43" s="37" t="str">
        <f t="shared" si="9"/>
        <v>König, Anton</v>
      </c>
      <c r="E43" s="37" t="str">
        <f t="shared" si="10"/>
        <v>SFG Sophienthal</v>
      </c>
      <c r="F43" s="38" t="str">
        <f t="shared" si="11"/>
        <v>Audi 50 GLS</v>
      </c>
      <c r="G43" s="38">
        <f t="shared" si="12"/>
        <v>0</v>
      </c>
      <c r="H43" s="38">
        <f t="shared" si="13"/>
        <v>0</v>
      </c>
      <c r="I43" s="105">
        <v>0.000985898148148148</v>
      </c>
      <c r="J43" s="117"/>
      <c r="K43" s="154">
        <f t="shared" si="6"/>
        <v>1</v>
      </c>
    </row>
    <row r="44" spans="1:11" ht="15" customHeight="1">
      <c r="A44" s="113">
        <f t="shared" si="7"/>
        <v>40</v>
      </c>
      <c r="B44" s="106">
        <v>499</v>
      </c>
      <c r="C44" s="107">
        <f t="shared" si="8"/>
        <v>0</v>
      </c>
      <c r="D44" s="37" t="str">
        <f t="shared" si="9"/>
        <v>Männl, Michael</v>
      </c>
      <c r="E44" s="37" t="str">
        <f t="shared" si="10"/>
        <v>RST Mittelfranken</v>
      </c>
      <c r="F44" s="38" t="str">
        <f t="shared" si="11"/>
        <v>Fiat 127</v>
      </c>
      <c r="G44" s="38">
        <f t="shared" si="12"/>
        <v>0</v>
      </c>
      <c r="H44" s="38">
        <f t="shared" si="13"/>
        <v>0</v>
      </c>
      <c r="I44" s="105">
        <v>0.0010540787037037038</v>
      </c>
      <c r="J44" s="117"/>
      <c r="K44" s="154">
        <f t="shared" si="6"/>
        <v>1</v>
      </c>
    </row>
    <row r="45" spans="1:11" ht="15" customHeight="1">
      <c r="A45" s="113">
        <f t="shared" si="7"/>
        <v>41</v>
      </c>
      <c r="B45" s="106">
        <v>130</v>
      </c>
      <c r="C45" s="107">
        <f t="shared" si="8"/>
        <v>0</v>
      </c>
      <c r="D45" s="37" t="str">
        <f t="shared" si="9"/>
        <v>Westermeier, Walter</v>
      </c>
      <c r="E45" s="37" t="str">
        <f t="shared" si="10"/>
        <v>Scuderia Topolino</v>
      </c>
      <c r="F45" s="38" t="str">
        <f t="shared" si="11"/>
        <v>Fiat Abarth 1000 TC</v>
      </c>
      <c r="G45" s="38">
        <f t="shared" si="12"/>
        <v>0</v>
      </c>
      <c r="H45" s="38">
        <f t="shared" si="13"/>
        <v>0</v>
      </c>
      <c r="I45" s="105">
        <v>0.0012467916666666667</v>
      </c>
      <c r="J45" s="117"/>
      <c r="K45" s="154">
        <f t="shared" si="6"/>
        <v>1</v>
      </c>
    </row>
    <row r="46" spans="1:11" ht="15" customHeight="1">
      <c r="A46" s="113">
        <f t="shared" si="7"/>
      </c>
      <c r="B46" s="106"/>
      <c r="C46" s="107">
        <f t="shared" si="8"/>
      </c>
      <c r="D46" s="37">
        <f t="shared" si="9"/>
      </c>
      <c r="E46" s="37">
        <f t="shared" si="10"/>
      </c>
      <c r="F46" s="38">
        <f t="shared" si="11"/>
      </c>
      <c r="G46" s="38">
        <f t="shared" si="12"/>
      </c>
      <c r="H46" s="38">
        <f t="shared" si="13"/>
      </c>
      <c r="I46" s="105"/>
      <c r="J46" s="117"/>
      <c r="K46" s="154">
        <f t="shared" si="6"/>
      </c>
    </row>
    <row r="47" spans="1:11" ht="15" customHeight="1">
      <c r="A47" s="113">
        <f t="shared" si="7"/>
      </c>
      <c r="B47" s="106"/>
      <c r="C47" s="107">
        <f t="shared" si="8"/>
      </c>
      <c r="D47" s="37">
        <f t="shared" si="9"/>
      </c>
      <c r="E47" s="37">
        <f t="shared" si="10"/>
      </c>
      <c r="F47" s="38">
        <f t="shared" si="11"/>
      </c>
      <c r="G47" s="38">
        <f t="shared" si="12"/>
      </c>
      <c r="H47" s="38">
        <f t="shared" si="13"/>
      </c>
      <c r="I47" s="105"/>
      <c r="J47" s="117"/>
      <c r="K47" s="154">
        <f t="shared" si="6"/>
      </c>
    </row>
    <row r="48" spans="1:11" ht="15" customHeight="1">
      <c r="A48" s="113">
        <f t="shared" si="7"/>
      </c>
      <c r="B48" s="106"/>
      <c r="C48" s="107">
        <f t="shared" si="8"/>
      </c>
      <c r="D48" s="37">
        <f t="shared" si="9"/>
      </c>
      <c r="E48" s="37">
        <f t="shared" si="10"/>
      </c>
      <c r="F48" s="38">
        <f t="shared" si="11"/>
      </c>
      <c r="G48" s="38">
        <f t="shared" si="12"/>
      </c>
      <c r="H48" s="38">
        <f t="shared" si="13"/>
      </c>
      <c r="I48" s="105"/>
      <c r="J48" s="117"/>
      <c r="K48" s="154">
        <f t="shared" si="6"/>
      </c>
    </row>
    <row r="49" spans="1:11" ht="15" customHeight="1">
      <c r="A49" s="113">
        <f t="shared" si="7"/>
      </c>
      <c r="B49" s="106"/>
      <c r="C49" s="107">
        <f t="shared" si="8"/>
      </c>
      <c r="D49" s="37">
        <f t="shared" si="9"/>
      </c>
      <c r="E49" s="37">
        <f t="shared" si="10"/>
      </c>
      <c r="F49" s="38">
        <f t="shared" si="11"/>
      </c>
      <c r="G49" s="38">
        <f t="shared" si="12"/>
      </c>
      <c r="H49" s="38">
        <f t="shared" si="13"/>
      </c>
      <c r="I49" s="105"/>
      <c r="J49" s="117"/>
      <c r="K49" s="154">
        <f t="shared" si="6"/>
      </c>
    </row>
    <row r="50" spans="1:11" ht="15" customHeight="1">
      <c r="A50" s="113">
        <f t="shared" si="7"/>
      </c>
      <c r="B50" s="106"/>
      <c r="C50" s="107">
        <f t="shared" si="8"/>
      </c>
      <c r="D50" s="37">
        <f t="shared" si="9"/>
      </c>
      <c r="E50" s="37">
        <f t="shared" si="10"/>
      </c>
      <c r="F50" s="38">
        <f t="shared" si="11"/>
      </c>
      <c r="G50" s="38">
        <f t="shared" si="12"/>
      </c>
      <c r="H50" s="38">
        <f t="shared" si="13"/>
      </c>
      <c r="I50" s="105"/>
      <c r="J50" s="117"/>
      <c r="K50" s="154">
        <f t="shared" si="6"/>
      </c>
    </row>
    <row r="51" spans="1:11" ht="15" customHeight="1">
      <c r="A51" s="113">
        <f aca="true" t="shared" si="14" ref="A51:A102">IF(ISBLANK(B51),"",A50+1)</f>
      </c>
      <c r="B51" s="106"/>
      <c r="C51" s="107">
        <f t="shared" si="8"/>
      </c>
      <c r="D51" s="37">
        <f t="shared" si="9"/>
      </c>
      <c r="E51" s="37">
        <f t="shared" si="10"/>
      </c>
      <c r="F51" s="38">
        <f t="shared" si="11"/>
      </c>
      <c r="G51" s="38">
        <f t="shared" si="12"/>
      </c>
      <c r="H51" s="38">
        <f t="shared" si="13"/>
      </c>
      <c r="I51" s="105"/>
      <c r="J51" s="117"/>
      <c r="K51" s="154">
        <f aca="true" t="shared" si="15" ref="K51:K102">IF(ISBLANK(B51),"",1)</f>
      </c>
    </row>
    <row r="52" spans="1:11" ht="15" customHeight="1">
      <c r="A52" s="113">
        <f t="shared" si="14"/>
      </c>
      <c r="B52" s="106"/>
      <c r="C52" s="107">
        <f t="shared" si="8"/>
      </c>
      <c r="D52" s="37">
        <f t="shared" si="9"/>
      </c>
      <c r="E52" s="37">
        <f t="shared" si="10"/>
      </c>
      <c r="F52" s="38">
        <f t="shared" si="11"/>
      </c>
      <c r="G52" s="38">
        <f t="shared" si="12"/>
      </c>
      <c r="H52" s="38">
        <f t="shared" si="13"/>
      </c>
      <c r="I52" s="105"/>
      <c r="J52" s="117"/>
      <c r="K52" s="154">
        <f t="shared" si="15"/>
      </c>
    </row>
    <row r="53" spans="1:11" ht="15" customHeight="1">
      <c r="A53" s="113">
        <f t="shared" si="14"/>
      </c>
      <c r="B53" s="106"/>
      <c r="C53" s="107">
        <f t="shared" si="8"/>
      </c>
      <c r="D53" s="37">
        <f t="shared" si="9"/>
      </c>
      <c r="E53" s="37">
        <f t="shared" si="10"/>
      </c>
      <c r="F53" s="38">
        <f t="shared" si="11"/>
      </c>
      <c r="G53" s="38">
        <f t="shared" si="12"/>
      </c>
      <c r="H53" s="38">
        <f t="shared" si="13"/>
      </c>
      <c r="I53" s="105"/>
      <c r="J53" s="117"/>
      <c r="K53" s="154">
        <f t="shared" si="15"/>
      </c>
    </row>
    <row r="54" spans="1:11" ht="15" customHeight="1">
      <c r="A54" s="113">
        <f t="shared" si="14"/>
      </c>
      <c r="B54" s="106"/>
      <c r="C54" s="107">
        <f t="shared" si="8"/>
      </c>
      <c r="D54" s="37">
        <f t="shared" si="9"/>
      </c>
      <c r="E54" s="37">
        <f t="shared" si="10"/>
      </c>
      <c r="F54" s="38">
        <f t="shared" si="11"/>
      </c>
      <c r="G54" s="38">
        <f t="shared" si="12"/>
      </c>
      <c r="H54" s="38">
        <f t="shared" si="13"/>
      </c>
      <c r="I54" s="105"/>
      <c r="J54" s="117"/>
      <c r="K54" s="154">
        <f t="shared" si="15"/>
      </c>
    </row>
    <row r="55" spans="1:11" ht="15" customHeight="1">
      <c r="A55" s="113">
        <f t="shared" si="14"/>
      </c>
      <c r="B55" s="106"/>
      <c r="C55" s="107">
        <f t="shared" si="8"/>
      </c>
      <c r="D55" s="37">
        <f t="shared" si="9"/>
      </c>
      <c r="E55" s="37">
        <f t="shared" si="10"/>
      </c>
      <c r="F55" s="38">
        <f t="shared" si="11"/>
      </c>
      <c r="G55" s="38">
        <f t="shared" si="12"/>
      </c>
      <c r="H55" s="38">
        <f t="shared" si="13"/>
      </c>
      <c r="I55" s="105"/>
      <c r="J55" s="117"/>
      <c r="K55" s="154">
        <f t="shared" si="15"/>
      </c>
    </row>
    <row r="56" spans="1:11" ht="15" customHeight="1">
      <c r="A56" s="113">
        <f t="shared" si="14"/>
      </c>
      <c r="B56" s="106"/>
      <c r="C56" s="107">
        <f t="shared" si="8"/>
      </c>
      <c r="D56" s="37">
        <f t="shared" si="9"/>
      </c>
      <c r="E56" s="37">
        <f t="shared" si="10"/>
      </c>
      <c r="F56" s="38">
        <f t="shared" si="11"/>
      </c>
      <c r="G56" s="38">
        <f t="shared" si="12"/>
      </c>
      <c r="H56" s="38">
        <f t="shared" si="13"/>
      </c>
      <c r="I56" s="105"/>
      <c r="J56" s="117"/>
      <c r="K56" s="154">
        <f t="shared" si="15"/>
      </c>
    </row>
    <row r="57" spans="1:11" ht="15" customHeight="1">
      <c r="A57" s="113">
        <f t="shared" si="14"/>
      </c>
      <c r="B57" s="106"/>
      <c r="C57" s="107">
        <f t="shared" si="8"/>
      </c>
      <c r="D57" s="37">
        <f t="shared" si="9"/>
      </c>
      <c r="E57" s="37">
        <f t="shared" si="10"/>
      </c>
      <c r="F57" s="38">
        <f t="shared" si="11"/>
      </c>
      <c r="G57" s="38">
        <f t="shared" si="12"/>
      </c>
      <c r="H57" s="38">
        <f t="shared" si="13"/>
      </c>
      <c r="I57" s="105"/>
      <c r="J57" s="117"/>
      <c r="K57" s="154">
        <f t="shared" si="15"/>
      </c>
    </row>
    <row r="58" spans="1:11" ht="15" customHeight="1">
      <c r="A58" s="113">
        <f t="shared" si="14"/>
      </c>
      <c r="B58" s="106"/>
      <c r="C58" s="107">
        <f t="shared" si="8"/>
      </c>
      <c r="D58" s="37">
        <f t="shared" si="9"/>
      </c>
      <c r="E58" s="37">
        <f t="shared" si="10"/>
      </c>
      <c r="F58" s="38">
        <f t="shared" si="11"/>
      </c>
      <c r="G58" s="38">
        <f t="shared" si="12"/>
      </c>
      <c r="H58" s="38">
        <f t="shared" si="13"/>
      </c>
      <c r="I58" s="105"/>
      <c r="J58" s="117"/>
      <c r="K58" s="154">
        <f t="shared" si="15"/>
      </c>
    </row>
    <row r="59" spans="1:11" ht="15" customHeight="1">
      <c r="A59" s="113">
        <f t="shared" si="14"/>
      </c>
      <c r="B59" s="106"/>
      <c r="C59" s="107">
        <f t="shared" si="8"/>
      </c>
      <c r="D59" s="37">
        <f t="shared" si="9"/>
      </c>
      <c r="E59" s="37">
        <f t="shared" si="10"/>
      </c>
      <c r="F59" s="38">
        <f t="shared" si="11"/>
      </c>
      <c r="G59" s="38">
        <f t="shared" si="12"/>
      </c>
      <c r="H59" s="38">
        <f t="shared" si="13"/>
      </c>
      <c r="I59" s="105"/>
      <c r="J59" s="117"/>
      <c r="K59" s="154">
        <f t="shared" si="15"/>
      </c>
    </row>
    <row r="60" spans="1:11" ht="15" customHeight="1">
      <c r="A60" s="113">
        <f t="shared" si="14"/>
      </c>
      <c r="B60" s="106"/>
      <c r="C60" s="107">
        <f t="shared" si="8"/>
      </c>
      <c r="D60" s="37">
        <f t="shared" si="9"/>
      </c>
      <c r="E60" s="37">
        <f t="shared" si="10"/>
      </c>
      <c r="F60" s="38">
        <f t="shared" si="11"/>
      </c>
      <c r="G60" s="38">
        <f t="shared" si="12"/>
      </c>
      <c r="H60" s="38">
        <f t="shared" si="13"/>
      </c>
      <c r="I60" s="105"/>
      <c r="J60" s="117"/>
      <c r="K60" s="154">
        <f t="shared" si="15"/>
      </c>
    </row>
    <row r="61" spans="1:11" ht="15" customHeight="1">
      <c r="A61" s="113">
        <f t="shared" si="14"/>
      </c>
      <c r="B61" s="106"/>
      <c r="C61" s="107">
        <f t="shared" si="8"/>
      </c>
      <c r="D61" s="37">
        <f t="shared" si="9"/>
      </c>
      <c r="E61" s="37">
        <f t="shared" si="10"/>
      </c>
      <c r="F61" s="38">
        <f t="shared" si="11"/>
      </c>
      <c r="G61" s="38">
        <f t="shared" si="12"/>
      </c>
      <c r="H61" s="38">
        <f t="shared" si="13"/>
      </c>
      <c r="I61" s="105"/>
      <c r="J61" s="117"/>
      <c r="K61" s="154">
        <f t="shared" si="15"/>
      </c>
    </row>
    <row r="62" spans="1:11" ht="15" customHeight="1">
      <c r="A62" s="113">
        <f t="shared" si="14"/>
      </c>
      <c r="B62" s="106"/>
      <c r="C62" s="107">
        <f t="shared" si="8"/>
      </c>
      <c r="D62" s="37">
        <f t="shared" si="9"/>
      </c>
      <c r="E62" s="37">
        <f t="shared" si="10"/>
      </c>
      <c r="F62" s="38">
        <f t="shared" si="11"/>
      </c>
      <c r="G62" s="38">
        <f t="shared" si="12"/>
      </c>
      <c r="H62" s="38">
        <f t="shared" si="13"/>
      </c>
      <c r="I62" s="105"/>
      <c r="J62" s="117"/>
      <c r="K62" s="154">
        <f t="shared" si="15"/>
      </c>
    </row>
    <row r="63" spans="1:11" ht="15" customHeight="1">
      <c r="A63" s="113">
        <f t="shared" si="14"/>
      </c>
      <c r="B63" s="106"/>
      <c r="C63" s="107">
        <f t="shared" si="8"/>
      </c>
      <c r="D63" s="37">
        <f t="shared" si="9"/>
      </c>
      <c r="E63" s="37">
        <f t="shared" si="10"/>
      </c>
      <c r="F63" s="38">
        <f t="shared" si="11"/>
      </c>
      <c r="G63" s="38">
        <f t="shared" si="12"/>
      </c>
      <c r="H63" s="38">
        <f t="shared" si="13"/>
      </c>
      <c r="I63" s="105"/>
      <c r="J63" s="117"/>
      <c r="K63" s="154">
        <f t="shared" si="15"/>
      </c>
    </row>
    <row r="64" spans="1:11" ht="15" customHeight="1">
      <c r="A64" s="113">
        <f t="shared" si="14"/>
      </c>
      <c r="B64" s="106"/>
      <c r="C64" s="107">
        <f t="shared" si="8"/>
      </c>
      <c r="D64" s="37">
        <f t="shared" si="9"/>
      </c>
      <c r="E64" s="37">
        <f t="shared" si="10"/>
      </c>
      <c r="F64" s="38">
        <f t="shared" si="11"/>
      </c>
      <c r="G64" s="38">
        <f t="shared" si="12"/>
      </c>
      <c r="H64" s="38">
        <f t="shared" si="13"/>
      </c>
      <c r="I64" s="105"/>
      <c r="J64" s="117"/>
      <c r="K64" s="154">
        <f t="shared" si="15"/>
      </c>
    </row>
    <row r="65" spans="1:11" ht="15" customHeight="1">
      <c r="A65" s="113">
        <f t="shared" si="14"/>
      </c>
      <c r="B65" s="106"/>
      <c r="C65" s="107">
        <f t="shared" si="8"/>
      </c>
      <c r="D65" s="37">
        <f t="shared" si="9"/>
      </c>
      <c r="E65" s="37">
        <f t="shared" si="10"/>
      </c>
      <c r="F65" s="38">
        <f t="shared" si="11"/>
      </c>
      <c r="G65" s="38">
        <f t="shared" si="12"/>
      </c>
      <c r="H65" s="38">
        <f t="shared" si="13"/>
      </c>
      <c r="I65" s="105"/>
      <c r="J65" s="117"/>
      <c r="K65" s="154">
        <f t="shared" si="15"/>
      </c>
    </row>
    <row r="66" spans="1:11" ht="15" customHeight="1">
      <c r="A66" s="113">
        <f t="shared" si="14"/>
      </c>
      <c r="B66" s="106"/>
      <c r="C66" s="107">
        <f t="shared" si="8"/>
      </c>
      <c r="D66" s="37">
        <f t="shared" si="9"/>
      </c>
      <c r="E66" s="37">
        <f t="shared" si="10"/>
      </c>
      <c r="F66" s="38">
        <f t="shared" si="11"/>
      </c>
      <c r="G66" s="38">
        <f t="shared" si="12"/>
      </c>
      <c r="H66" s="38">
        <f t="shared" si="13"/>
      </c>
      <c r="I66" s="105"/>
      <c r="J66" s="117"/>
      <c r="K66" s="154">
        <f t="shared" si="15"/>
      </c>
    </row>
    <row r="67" spans="1:11" ht="15" customHeight="1">
      <c r="A67" s="113">
        <f t="shared" si="14"/>
      </c>
      <c r="B67" s="106"/>
      <c r="C67" s="107">
        <f t="shared" si="8"/>
      </c>
      <c r="D67" s="37">
        <f t="shared" si="9"/>
      </c>
      <c r="E67" s="37">
        <f t="shared" si="10"/>
      </c>
      <c r="F67" s="38">
        <f t="shared" si="11"/>
      </c>
      <c r="G67" s="38">
        <f t="shared" si="12"/>
      </c>
      <c r="H67" s="38">
        <f t="shared" si="13"/>
      </c>
      <c r="I67" s="105"/>
      <c r="J67" s="117"/>
      <c r="K67" s="154">
        <f t="shared" si="15"/>
      </c>
    </row>
    <row r="68" spans="1:11" ht="15" customHeight="1">
      <c r="A68" s="113">
        <f t="shared" si="14"/>
      </c>
      <c r="B68" s="106"/>
      <c r="C68" s="107">
        <f t="shared" si="8"/>
      </c>
      <c r="D68" s="37">
        <f t="shared" si="9"/>
      </c>
      <c r="E68" s="37">
        <f t="shared" si="10"/>
      </c>
      <c r="F68" s="38">
        <f t="shared" si="11"/>
      </c>
      <c r="G68" s="38">
        <f t="shared" si="12"/>
      </c>
      <c r="H68" s="38">
        <f t="shared" si="13"/>
      </c>
      <c r="I68" s="105"/>
      <c r="J68" s="117"/>
      <c r="K68" s="154">
        <f t="shared" si="15"/>
      </c>
    </row>
    <row r="69" spans="1:11" ht="15" customHeight="1">
      <c r="A69" s="113">
        <f t="shared" si="14"/>
      </c>
      <c r="B69" s="106"/>
      <c r="C69" s="107">
        <f aca="true" t="shared" si="16" ref="C69:C100">IF(ISBLANK(B69),"",VLOOKUP(B69,Starter_Feld,2,FALSE))</f>
      </c>
      <c r="D69" s="37">
        <f aca="true" t="shared" si="17" ref="D69:D102">IF(ISBLANK(B69),"",VLOOKUP(B69,Starter_Feld,3,FALSE))</f>
      </c>
      <c r="E69" s="37">
        <f aca="true" t="shared" si="18" ref="E69:E102">IF(ISBLANK(B69),"",VLOOKUP(B69,Starter_Feld,4,FALSE))</f>
      </c>
      <c r="F69" s="38">
        <f aca="true" t="shared" si="19" ref="F69:F102">IF(ISBLANK(B69),"",VLOOKUP(B69,Starter_Feld,5,FALSE))</f>
      </c>
      <c r="G69" s="38">
        <f aca="true" t="shared" si="20" ref="G69:G102">IF(ISBLANK(B69),"",VLOOKUP(B69,Starter_Feld,7,FALSE))</f>
      </c>
      <c r="H69" s="38">
        <f aca="true" t="shared" si="21" ref="H69:H102">IF(ISBLANK(B69),"",VLOOKUP(B69,Starter_Feld,8,FALSE))</f>
      </c>
      <c r="I69" s="105"/>
      <c r="J69" s="117"/>
      <c r="K69" s="154">
        <f t="shared" si="15"/>
      </c>
    </row>
    <row r="70" spans="1:11" ht="15" customHeight="1">
      <c r="A70" s="113">
        <f t="shared" si="14"/>
      </c>
      <c r="B70" s="106"/>
      <c r="C70" s="107">
        <f t="shared" si="16"/>
      </c>
      <c r="D70" s="37">
        <f t="shared" si="17"/>
      </c>
      <c r="E70" s="37">
        <f t="shared" si="18"/>
      </c>
      <c r="F70" s="38">
        <f t="shared" si="19"/>
      </c>
      <c r="G70" s="38">
        <f t="shared" si="20"/>
      </c>
      <c r="H70" s="38">
        <f t="shared" si="21"/>
      </c>
      <c r="I70" s="105"/>
      <c r="J70" s="117"/>
      <c r="K70" s="154">
        <f t="shared" si="15"/>
      </c>
    </row>
    <row r="71" spans="1:11" ht="15" customHeight="1">
      <c r="A71" s="113">
        <f t="shared" si="14"/>
      </c>
      <c r="B71" s="106"/>
      <c r="C71" s="107">
        <f t="shared" si="16"/>
      </c>
      <c r="D71" s="37">
        <f t="shared" si="17"/>
      </c>
      <c r="E71" s="37">
        <f t="shared" si="18"/>
      </c>
      <c r="F71" s="38">
        <f t="shared" si="19"/>
      </c>
      <c r="G71" s="38">
        <f t="shared" si="20"/>
      </c>
      <c r="H71" s="38">
        <f t="shared" si="21"/>
      </c>
      <c r="I71" s="105"/>
      <c r="J71" s="117"/>
      <c r="K71" s="154">
        <f t="shared" si="15"/>
      </c>
    </row>
    <row r="72" spans="1:11" ht="15" customHeight="1">
      <c r="A72" s="113">
        <f t="shared" si="14"/>
      </c>
      <c r="B72" s="106"/>
      <c r="C72" s="107">
        <f t="shared" si="16"/>
      </c>
      <c r="D72" s="37">
        <f t="shared" si="17"/>
      </c>
      <c r="E72" s="37">
        <f t="shared" si="18"/>
      </c>
      <c r="F72" s="38">
        <f t="shared" si="19"/>
      </c>
      <c r="G72" s="38">
        <f t="shared" si="20"/>
      </c>
      <c r="H72" s="38">
        <f t="shared" si="21"/>
      </c>
      <c r="I72" s="105"/>
      <c r="J72" s="117"/>
      <c r="K72" s="154">
        <f t="shared" si="15"/>
      </c>
    </row>
    <row r="73" spans="1:11" ht="15" customHeight="1">
      <c r="A73" s="113">
        <f t="shared" si="14"/>
      </c>
      <c r="B73" s="106"/>
      <c r="C73" s="107">
        <f t="shared" si="16"/>
      </c>
      <c r="D73" s="37">
        <f t="shared" si="17"/>
      </c>
      <c r="E73" s="37">
        <f t="shared" si="18"/>
      </c>
      <c r="F73" s="38">
        <f t="shared" si="19"/>
      </c>
      <c r="G73" s="38">
        <f t="shared" si="20"/>
      </c>
      <c r="H73" s="38">
        <f t="shared" si="21"/>
      </c>
      <c r="I73" s="105"/>
      <c r="J73" s="117"/>
      <c r="K73" s="154">
        <f t="shared" si="15"/>
      </c>
    </row>
    <row r="74" spans="1:11" ht="15" customHeight="1">
      <c r="A74" s="113">
        <f t="shared" si="14"/>
      </c>
      <c r="B74" s="106"/>
      <c r="C74" s="107">
        <f t="shared" si="16"/>
      </c>
      <c r="D74" s="37">
        <f t="shared" si="17"/>
      </c>
      <c r="E74" s="37">
        <f t="shared" si="18"/>
      </c>
      <c r="F74" s="38">
        <f t="shared" si="19"/>
      </c>
      <c r="G74" s="38">
        <f t="shared" si="20"/>
      </c>
      <c r="H74" s="38">
        <f t="shared" si="21"/>
      </c>
      <c r="I74" s="105"/>
      <c r="J74" s="117"/>
      <c r="K74" s="154">
        <f t="shared" si="15"/>
      </c>
    </row>
    <row r="75" spans="1:11" ht="15" customHeight="1">
      <c r="A75" s="113">
        <f t="shared" si="14"/>
      </c>
      <c r="B75" s="106"/>
      <c r="C75" s="107">
        <f t="shared" si="16"/>
      </c>
      <c r="D75" s="37">
        <f t="shared" si="17"/>
      </c>
      <c r="E75" s="37">
        <f t="shared" si="18"/>
      </c>
      <c r="F75" s="38">
        <f t="shared" si="19"/>
      </c>
      <c r="G75" s="38">
        <f t="shared" si="20"/>
      </c>
      <c r="H75" s="38">
        <f t="shared" si="21"/>
      </c>
      <c r="I75" s="105"/>
      <c r="J75" s="117"/>
      <c r="K75" s="154">
        <f t="shared" si="15"/>
      </c>
    </row>
    <row r="76" spans="1:11" ht="15" customHeight="1">
      <c r="A76" s="113">
        <f t="shared" si="14"/>
      </c>
      <c r="B76" s="106"/>
      <c r="C76" s="107">
        <f t="shared" si="16"/>
      </c>
      <c r="D76" s="37">
        <f t="shared" si="17"/>
      </c>
      <c r="E76" s="37">
        <f t="shared" si="18"/>
      </c>
      <c r="F76" s="38">
        <f t="shared" si="19"/>
      </c>
      <c r="G76" s="38">
        <f t="shared" si="20"/>
      </c>
      <c r="H76" s="38">
        <f t="shared" si="21"/>
      </c>
      <c r="I76" s="105"/>
      <c r="J76" s="117"/>
      <c r="K76" s="154">
        <f t="shared" si="15"/>
      </c>
    </row>
    <row r="77" spans="1:11" ht="15" customHeight="1">
      <c r="A77" s="113">
        <f t="shared" si="14"/>
      </c>
      <c r="B77" s="106"/>
      <c r="C77" s="107">
        <f t="shared" si="16"/>
      </c>
      <c r="D77" s="37">
        <f t="shared" si="17"/>
      </c>
      <c r="E77" s="37">
        <f t="shared" si="18"/>
      </c>
      <c r="F77" s="38">
        <f t="shared" si="19"/>
      </c>
      <c r="G77" s="38">
        <f t="shared" si="20"/>
      </c>
      <c r="H77" s="38">
        <f t="shared" si="21"/>
      </c>
      <c r="I77" s="105"/>
      <c r="J77" s="117"/>
      <c r="K77" s="154">
        <f t="shared" si="15"/>
      </c>
    </row>
    <row r="78" spans="1:11" ht="15" customHeight="1">
      <c r="A78" s="113">
        <f t="shared" si="14"/>
      </c>
      <c r="B78" s="106"/>
      <c r="C78" s="107">
        <f t="shared" si="16"/>
      </c>
      <c r="D78" s="37">
        <f t="shared" si="17"/>
      </c>
      <c r="E78" s="37">
        <f t="shared" si="18"/>
      </c>
      <c r="F78" s="38">
        <f t="shared" si="19"/>
      </c>
      <c r="G78" s="38">
        <f t="shared" si="20"/>
      </c>
      <c r="H78" s="38">
        <f t="shared" si="21"/>
      </c>
      <c r="I78" s="105"/>
      <c r="J78" s="117"/>
      <c r="K78" s="154">
        <f t="shared" si="15"/>
      </c>
    </row>
    <row r="79" spans="1:11" ht="15" customHeight="1">
      <c r="A79" s="113">
        <f t="shared" si="14"/>
      </c>
      <c r="B79" s="106"/>
      <c r="C79" s="107">
        <f t="shared" si="16"/>
      </c>
      <c r="D79" s="37">
        <f t="shared" si="17"/>
      </c>
      <c r="E79" s="37">
        <f t="shared" si="18"/>
      </c>
      <c r="F79" s="38">
        <f t="shared" si="19"/>
      </c>
      <c r="G79" s="38">
        <f t="shared" si="20"/>
      </c>
      <c r="H79" s="38">
        <f t="shared" si="21"/>
      </c>
      <c r="I79" s="105"/>
      <c r="J79" s="117"/>
      <c r="K79" s="154">
        <f t="shared" si="15"/>
      </c>
    </row>
    <row r="80" spans="1:11" ht="15" customHeight="1">
      <c r="A80" s="113">
        <f t="shared" si="14"/>
      </c>
      <c r="B80" s="106"/>
      <c r="C80" s="107">
        <f t="shared" si="16"/>
      </c>
      <c r="D80" s="37">
        <f t="shared" si="17"/>
      </c>
      <c r="E80" s="37">
        <f t="shared" si="18"/>
      </c>
      <c r="F80" s="38">
        <f t="shared" si="19"/>
      </c>
      <c r="G80" s="38">
        <f t="shared" si="20"/>
      </c>
      <c r="H80" s="38">
        <f t="shared" si="21"/>
      </c>
      <c r="I80" s="105"/>
      <c r="J80" s="117"/>
      <c r="K80" s="154">
        <f t="shared" si="15"/>
      </c>
    </row>
    <row r="81" spans="1:11" ht="15" customHeight="1">
      <c r="A81" s="113">
        <f t="shared" si="14"/>
      </c>
      <c r="B81" s="106"/>
      <c r="C81" s="107">
        <f t="shared" si="16"/>
      </c>
      <c r="D81" s="37">
        <f t="shared" si="17"/>
      </c>
      <c r="E81" s="37">
        <f t="shared" si="18"/>
      </c>
      <c r="F81" s="38">
        <f t="shared" si="19"/>
      </c>
      <c r="G81" s="38">
        <f t="shared" si="20"/>
      </c>
      <c r="H81" s="38">
        <f t="shared" si="21"/>
      </c>
      <c r="I81" s="105"/>
      <c r="J81" s="117"/>
      <c r="K81" s="154">
        <f t="shared" si="15"/>
      </c>
    </row>
    <row r="82" spans="1:11" ht="15" customHeight="1">
      <c r="A82" s="113">
        <f t="shared" si="14"/>
      </c>
      <c r="B82" s="106"/>
      <c r="C82" s="107">
        <f t="shared" si="16"/>
      </c>
      <c r="D82" s="37">
        <f t="shared" si="17"/>
      </c>
      <c r="E82" s="37">
        <f t="shared" si="18"/>
      </c>
      <c r="F82" s="38">
        <f t="shared" si="19"/>
      </c>
      <c r="G82" s="38">
        <f t="shared" si="20"/>
      </c>
      <c r="H82" s="38">
        <f t="shared" si="21"/>
      </c>
      <c r="I82" s="105"/>
      <c r="J82" s="117"/>
      <c r="K82" s="154">
        <f t="shared" si="15"/>
      </c>
    </row>
    <row r="83" spans="1:11" ht="15" customHeight="1">
      <c r="A83" s="113">
        <f t="shared" si="14"/>
      </c>
      <c r="B83" s="106"/>
      <c r="C83" s="107">
        <f t="shared" si="16"/>
      </c>
      <c r="D83" s="37">
        <f t="shared" si="17"/>
      </c>
      <c r="E83" s="37">
        <f t="shared" si="18"/>
      </c>
      <c r="F83" s="38">
        <f t="shared" si="19"/>
      </c>
      <c r="G83" s="38">
        <f t="shared" si="20"/>
      </c>
      <c r="H83" s="38">
        <f t="shared" si="21"/>
      </c>
      <c r="I83" s="105"/>
      <c r="J83" s="117"/>
      <c r="K83" s="154">
        <f t="shared" si="15"/>
      </c>
    </row>
    <row r="84" spans="1:11" ht="15" customHeight="1">
      <c r="A84" s="113">
        <f t="shared" si="14"/>
      </c>
      <c r="B84" s="106"/>
      <c r="C84" s="107">
        <f t="shared" si="16"/>
      </c>
      <c r="D84" s="37">
        <f t="shared" si="17"/>
      </c>
      <c r="E84" s="37">
        <f t="shared" si="18"/>
      </c>
      <c r="F84" s="38">
        <f t="shared" si="19"/>
      </c>
      <c r="G84" s="38">
        <f t="shared" si="20"/>
      </c>
      <c r="H84" s="38">
        <f t="shared" si="21"/>
      </c>
      <c r="I84" s="105"/>
      <c r="J84" s="117"/>
      <c r="K84" s="154">
        <f t="shared" si="15"/>
      </c>
    </row>
    <row r="85" spans="1:11" ht="15" customHeight="1">
      <c r="A85" s="113">
        <f t="shared" si="14"/>
      </c>
      <c r="B85" s="106"/>
      <c r="C85" s="107">
        <f t="shared" si="16"/>
      </c>
      <c r="D85" s="37">
        <f t="shared" si="17"/>
      </c>
      <c r="E85" s="37">
        <f t="shared" si="18"/>
      </c>
      <c r="F85" s="38">
        <f t="shared" si="19"/>
      </c>
      <c r="G85" s="38">
        <f t="shared" si="20"/>
      </c>
      <c r="H85" s="38">
        <f t="shared" si="21"/>
      </c>
      <c r="I85" s="105"/>
      <c r="J85" s="117"/>
      <c r="K85" s="154">
        <f t="shared" si="15"/>
      </c>
    </row>
    <row r="86" spans="1:11" ht="15" customHeight="1">
      <c r="A86" s="113">
        <f t="shared" si="14"/>
      </c>
      <c r="B86" s="106"/>
      <c r="C86" s="107">
        <f t="shared" si="16"/>
      </c>
      <c r="D86" s="37">
        <f t="shared" si="17"/>
      </c>
      <c r="E86" s="37">
        <f t="shared" si="18"/>
      </c>
      <c r="F86" s="38">
        <f t="shared" si="19"/>
      </c>
      <c r="G86" s="38">
        <f t="shared" si="20"/>
      </c>
      <c r="H86" s="38">
        <f t="shared" si="21"/>
      </c>
      <c r="I86" s="105"/>
      <c r="J86" s="117"/>
      <c r="K86" s="154">
        <f t="shared" si="15"/>
      </c>
    </row>
    <row r="87" spans="1:11" ht="15" customHeight="1">
      <c r="A87" s="113">
        <f t="shared" si="14"/>
      </c>
      <c r="B87" s="106"/>
      <c r="C87" s="107">
        <f t="shared" si="16"/>
      </c>
      <c r="D87" s="37">
        <f t="shared" si="17"/>
      </c>
      <c r="E87" s="37">
        <f t="shared" si="18"/>
      </c>
      <c r="F87" s="38">
        <f t="shared" si="19"/>
      </c>
      <c r="G87" s="38">
        <f t="shared" si="20"/>
      </c>
      <c r="H87" s="38">
        <f t="shared" si="21"/>
      </c>
      <c r="I87" s="105"/>
      <c r="J87" s="117"/>
      <c r="K87" s="154">
        <f t="shared" si="15"/>
      </c>
    </row>
    <row r="88" spans="1:11" ht="15" customHeight="1">
      <c r="A88" s="113">
        <f t="shared" si="14"/>
      </c>
      <c r="B88" s="106"/>
      <c r="C88" s="107">
        <f t="shared" si="16"/>
      </c>
      <c r="D88" s="37">
        <f t="shared" si="17"/>
      </c>
      <c r="E88" s="37">
        <f t="shared" si="18"/>
      </c>
      <c r="F88" s="38">
        <f t="shared" si="19"/>
      </c>
      <c r="G88" s="38">
        <f t="shared" si="20"/>
      </c>
      <c r="H88" s="38">
        <f t="shared" si="21"/>
      </c>
      <c r="I88" s="105"/>
      <c r="J88" s="117"/>
      <c r="K88" s="154">
        <f t="shared" si="15"/>
      </c>
    </row>
    <row r="89" spans="1:11" ht="15" customHeight="1">
      <c r="A89" s="113">
        <f t="shared" si="14"/>
      </c>
      <c r="B89" s="106"/>
      <c r="C89" s="107">
        <f t="shared" si="16"/>
      </c>
      <c r="D89" s="37">
        <f t="shared" si="17"/>
      </c>
      <c r="E89" s="37">
        <f t="shared" si="18"/>
      </c>
      <c r="F89" s="38">
        <f t="shared" si="19"/>
      </c>
      <c r="G89" s="38">
        <f t="shared" si="20"/>
      </c>
      <c r="H89" s="38">
        <f t="shared" si="21"/>
      </c>
      <c r="I89" s="105"/>
      <c r="J89" s="117"/>
      <c r="K89" s="154">
        <f t="shared" si="15"/>
      </c>
    </row>
    <row r="90" spans="1:11" ht="15" customHeight="1">
      <c r="A90" s="113">
        <f t="shared" si="14"/>
      </c>
      <c r="B90" s="106"/>
      <c r="C90" s="107">
        <f t="shared" si="16"/>
      </c>
      <c r="D90" s="37">
        <f t="shared" si="17"/>
      </c>
      <c r="E90" s="37">
        <f t="shared" si="18"/>
      </c>
      <c r="F90" s="38">
        <f t="shared" si="19"/>
      </c>
      <c r="G90" s="38">
        <f t="shared" si="20"/>
      </c>
      <c r="H90" s="38">
        <f t="shared" si="21"/>
      </c>
      <c r="I90" s="105"/>
      <c r="J90" s="117"/>
      <c r="K90" s="154">
        <f t="shared" si="15"/>
      </c>
    </row>
    <row r="91" spans="1:11" ht="15" customHeight="1">
      <c r="A91" s="113">
        <f t="shared" si="14"/>
      </c>
      <c r="B91" s="106"/>
      <c r="C91" s="107">
        <f t="shared" si="16"/>
      </c>
      <c r="D91" s="37">
        <f t="shared" si="17"/>
      </c>
      <c r="E91" s="37">
        <f t="shared" si="18"/>
      </c>
      <c r="F91" s="38">
        <f t="shared" si="19"/>
      </c>
      <c r="G91" s="38">
        <f t="shared" si="20"/>
      </c>
      <c r="H91" s="38">
        <f t="shared" si="21"/>
      </c>
      <c r="I91" s="105"/>
      <c r="J91" s="117"/>
      <c r="K91" s="154">
        <f t="shared" si="15"/>
      </c>
    </row>
    <row r="92" spans="1:11" ht="15" customHeight="1">
      <c r="A92" s="113">
        <f t="shared" si="14"/>
      </c>
      <c r="B92" s="106"/>
      <c r="C92" s="107">
        <f t="shared" si="16"/>
      </c>
      <c r="D92" s="37">
        <f t="shared" si="17"/>
      </c>
      <c r="E92" s="37">
        <f t="shared" si="18"/>
      </c>
      <c r="F92" s="38">
        <f t="shared" si="19"/>
      </c>
      <c r="G92" s="38">
        <f t="shared" si="20"/>
      </c>
      <c r="H92" s="38">
        <f t="shared" si="21"/>
      </c>
      <c r="I92" s="105"/>
      <c r="J92" s="117"/>
      <c r="K92" s="154">
        <f t="shared" si="15"/>
      </c>
    </row>
    <row r="93" spans="1:11" ht="15" customHeight="1">
      <c r="A93" s="113">
        <f t="shared" si="14"/>
      </c>
      <c r="B93" s="106"/>
      <c r="C93" s="107">
        <f t="shared" si="16"/>
      </c>
      <c r="D93" s="37">
        <f t="shared" si="17"/>
      </c>
      <c r="E93" s="37">
        <f t="shared" si="18"/>
      </c>
      <c r="F93" s="38">
        <f t="shared" si="19"/>
      </c>
      <c r="G93" s="38">
        <f t="shared" si="20"/>
      </c>
      <c r="H93" s="38">
        <f t="shared" si="21"/>
      </c>
      <c r="I93" s="105"/>
      <c r="J93" s="117"/>
      <c r="K93" s="154">
        <f t="shared" si="15"/>
      </c>
    </row>
    <row r="94" spans="1:11" ht="15" customHeight="1">
      <c r="A94" s="113">
        <f t="shared" si="14"/>
      </c>
      <c r="B94" s="106"/>
      <c r="C94" s="107">
        <f t="shared" si="16"/>
      </c>
      <c r="D94" s="37">
        <f t="shared" si="17"/>
      </c>
      <c r="E94" s="37">
        <f t="shared" si="18"/>
      </c>
      <c r="F94" s="38">
        <f t="shared" si="19"/>
      </c>
      <c r="G94" s="38">
        <f t="shared" si="20"/>
      </c>
      <c r="H94" s="38">
        <f t="shared" si="21"/>
      </c>
      <c r="I94" s="105"/>
      <c r="J94" s="117"/>
      <c r="K94" s="154">
        <f t="shared" si="15"/>
      </c>
    </row>
    <row r="95" spans="1:11" ht="15" customHeight="1">
      <c r="A95" s="113">
        <f t="shared" si="14"/>
      </c>
      <c r="B95" s="106"/>
      <c r="C95" s="107">
        <f t="shared" si="16"/>
      </c>
      <c r="D95" s="37">
        <f t="shared" si="17"/>
      </c>
      <c r="E95" s="37">
        <f t="shared" si="18"/>
      </c>
      <c r="F95" s="38">
        <f t="shared" si="19"/>
      </c>
      <c r="G95" s="38">
        <f t="shared" si="20"/>
      </c>
      <c r="H95" s="38">
        <f t="shared" si="21"/>
      </c>
      <c r="I95" s="105"/>
      <c r="J95" s="117"/>
      <c r="K95" s="154">
        <f t="shared" si="15"/>
      </c>
    </row>
    <row r="96" spans="1:11" ht="15" customHeight="1">
      <c r="A96" s="113">
        <f t="shared" si="14"/>
      </c>
      <c r="B96" s="106"/>
      <c r="C96" s="107">
        <f t="shared" si="16"/>
      </c>
      <c r="D96" s="37">
        <f t="shared" si="17"/>
      </c>
      <c r="E96" s="37">
        <f t="shared" si="18"/>
      </c>
      <c r="F96" s="38">
        <f t="shared" si="19"/>
      </c>
      <c r="G96" s="38">
        <f t="shared" si="20"/>
      </c>
      <c r="H96" s="38">
        <f t="shared" si="21"/>
      </c>
      <c r="I96" s="105"/>
      <c r="J96" s="117"/>
      <c r="K96" s="154">
        <f t="shared" si="15"/>
      </c>
    </row>
    <row r="97" spans="1:11" ht="15" customHeight="1">
      <c r="A97" s="113">
        <f t="shared" si="14"/>
      </c>
      <c r="B97" s="106"/>
      <c r="C97" s="107">
        <f t="shared" si="16"/>
      </c>
      <c r="D97" s="37">
        <f t="shared" si="17"/>
      </c>
      <c r="E97" s="37">
        <f t="shared" si="18"/>
      </c>
      <c r="F97" s="38">
        <f t="shared" si="19"/>
      </c>
      <c r="G97" s="38">
        <f t="shared" si="20"/>
      </c>
      <c r="H97" s="38">
        <f t="shared" si="21"/>
      </c>
      <c r="I97" s="105"/>
      <c r="J97" s="117"/>
      <c r="K97" s="154">
        <f t="shared" si="15"/>
      </c>
    </row>
    <row r="98" spans="1:11" ht="15" customHeight="1">
      <c r="A98" s="113">
        <f t="shared" si="14"/>
      </c>
      <c r="B98" s="106"/>
      <c r="C98" s="107">
        <f t="shared" si="16"/>
      </c>
      <c r="D98" s="37">
        <f t="shared" si="17"/>
      </c>
      <c r="E98" s="37">
        <f t="shared" si="18"/>
      </c>
      <c r="F98" s="38">
        <f t="shared" si="19"/>
      </c>
      <c r="G98" s="38">
        <f t="shared" si="20"/>
      </c>
      <c r="H98" s="38">
        <f t="shared" si="21"/>
      </c>
      <c r="I98" s="105"/>
      <c r="J98" s="117"/>
      <c r="K98" s="154">
        <f t="shared" si="15"/>
      </c>
    </row>
    <row r="99" spans="1:11" ht="15" customHeight="1">
      <c r="A99" s="113">
        <f t="shared" si="14"/>
      </c>
      <c r="B99" s="106"/>
      <c r="C99" s="107">
        <f t="shared" si="16"/>
      </c>
      <c r="D99" s="37">
        <f t="shared" si="17"/>
      </c>
      <c r="E99" s="37">
        <f t="shared" si="18"/>
      </c>
      <c r="F99" s="38">
        <f t="shared" si="19"/>
      </c>
      <c r="G99" s="38">
        <f t="shared" si="20"/>
      </c>
      <c r="H99" s="38">
        <f t="shared" si="21"/>
      </c>
      <c r="I99" s="105"/>
      <c r="J99" s="117"/>
      <c r="K99" s="154">
        <f t="shared" si="15"/>
      </c>
    </row>
    <row r="100" spans="1:11" ht="15" customHeight="1">
      <c r="A100" s="113">
        <f t="shared" si="14"/>
      </c>
      <c r="B100" s="106"/>
      <c r="C100" s="107">
        <f t="shared" si="16"/>
      </c>
      <c r="D100" s="37">
        <f t="shared" si="17"/>
      </c>
      <c r="E100" s="37">
        <f t="shared" si="18"/>
      </c>
      <c r="F100" s="38">
        <f t="shared" si="19"/>
      </c>
      <c r="G100" s="38">
        <f t="shared" si="20"/>
      </c>
      <c r="H100" s="38">
        <f t="shared" si="21"/>
      </c>
      <c r="I100" s="105"/>
      <c r="J100" s="117"/>
      <c r="K100" s="154">
        <f t="shared" si="15"/>
      </c>
    </row>
    <row r="101" spans="1:11" ht="15" customHeight="1">
      <c r="A101" s="113">
        <f t="shared" si="14"/>
      </c>
      <c r="B101" s="106"/>
      <c r="C101" s="107">
        <f>IF(ISBLANK(B101),"",VLOOKUP(B101,Starter_Feld,2,FALSE))</f>
      </c>
      <c r="D101" s="37">
        <f t="shared" si="17"/>
      </c>
      <c r="E101" s="37">
        <f t="shared" si="18"/>
      </c>
      <c r="F101" s="38">
        <f t="shared" si="19"/>
      </c>
      <c r="G101" s="38">
        <f t="shared" si="20"/>
      </c>
      <c r="H101" s="38">
        <f t="shared" si="21"/>
      </c>
      <c r="I101" s="105"/>
      <c r="J101" s="117"/>
      <c r="K101" s="154">
        <f t="shared" si="15"/>
      </c>
    </row>
    <row r="102" spans="1:11" ht="15" customHeight="1">
      <c r="A102" s="113">
        <f t="shared" si="14"/>
      </c>
      <c r="B102" s="106"/>
      <c r="C102" s="107">
        <f>IF(ISBLANK(B102),"",VLOOKUP(B102,Starter_Feld,2,FALSE))</f>
      </c>
      <c r="D102" s="37">
        <f t="shared" si="17"/>
      </c>
      <c r="E102" s="37">
        <f t="shared" si="18"/>
      </c>
      <c r="F102" s="38">
        <f t="shared" si="19"/>
      </c>
      <c r="G102" s="38">
        <f t="shared" si="20"/>
      </c>
      <c r="H102" s="38">
        <f t="shared" si="21"/>
      </c>
      <c r="I102" s="105"/>
      <c r="J102" s="117"/>
      <c r="K102" s="154">
        <f t="shared" si="15"/>
      </c>
    </row>
  </sheetData>
  <sheetProtection/>
  <conditionalFormatting sqref="D5:D102">
    <cfRule type="expression" priority="1" dxfId="3" stopIfTrue="1">
      <formula>G5+H5=2</formula>
    </cfRule>
    <cfRule type="expression" priority="2" dxfId="2" stopIfTrue="1">
      <formula>G5=1</formula>
    </cfRule>
    <cfRule type="expression" priority="3" dxfId="1" stopIfTrue="1">
      <formula>H5=1</formula>
    </cfRule>
  </conditionalFormatting>
  <conditionalFormatting sqref="C5:C102">
    <cfRule type="cellIs" priority="4" dxfId="12" operator="equal" stopIfTrue="1">
      <formula>0</formula>
    </cfRule>
  </conditionalFormatting>
  <conditionalFormatting sqref="E5:F102">
    <cfRule type="cellIs" priority="5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I203"/>
  <sheetViews>
    <sheetView zoomScale="120" zoomScaleNormal="120" zoomScalePageLayoutView="0" workbookViewId="0" topLeftCell="A1">
      <pane ySplit="2" topLeftCell="A128" activePane="bottomLeft" state="frozen"/>
      <selection pane="topLeft" activeCell="A1" sqref="A1"/>
      <selection pane="bottomLeft" activeCell="D154" sqref="D154"/>
    </sheetView>
  </sheetViews>
  <sheetFormatPr defaultColWidth="11.421875" defaultRowHeight="12.75"/>
  <cols>
    <col min="1" max="1" width="9.421875" style="1" customWidth="1"/>
    <col min="2" max="2" width="14.140625" style="1" customWidth="1"/>
    <col min="3" max="3" width="33.7109375" style="2" customWidth="1"/>
    <col min="4" max="4" width="33.57421875" style="2" customWidth="1"/>
    <col min="5" max="5" width="27.140625" style="2" customWidth="1"/>
    <col min="6" max="6" width="5.421875" style="1" customWidth="1"/>
    <col min="7" max="7" width="12.28125" style="1" customWidth="1"/>
    <col min="8" max="8" width="8.8515625" style="1" customWidth="1"/>
    <col min="9" max="9" width="0" style="0" hidden="1" customWidth="1"/>
  </cols>
  <sheetData>
    <row r="1" spans="3:8" ht="13.5" thickBot="1">
      <c r="C1" s="148" t="s">
        <v>69</v>
      </c>
      <c r="D1" s="149">
        <f>SUM(I3:I200)</f>
        <v>108</v>
      </c>
      <c r="E1" s="135"/>
      <c r="F1" s="151" t="s">
        <v>65</v>
      </c>
      <c r="G1" s="142">
        <f>SUM(G3:G200)</f>
        <v>13</v>
      </c>
      <c r="H1" s="142">
        <f>SUM(H3:H200)</f>
        <v>14</v>
      </c>
    </row>
    <row r="2" spans="1:8" s="52" customFormat="1" ht="16.5" customHeight="1" thickBot="1">
      <c r="A2" s="53" t="s">
        <v>3</v>
      </c>
      <c r="B2" s="54" t="s">
        <v>4</v>
      </c>
      <c r="C2" s="55" t="s">
        <v>5</v>
      </c>
      <c r="D2" s="55" t="s">
        <v>6</v>
      </c>
      <c r="E2" s="55" t="s">
        <v>7</v>
      </c>
      <c r="F2" s="54" t="s">
        <v>34</v>
      </c>
      <c r="G2" s="150" t="s">
        <v>62</v>
      </c>
      <c r="H2" s="150" t="s">
        <v>66</v>
      </c>
    </row>
    <row r="3" spans="1:9" ht="12" customHeight="1">
      <c r="A3" s="1">
        <v>307</v>
      </c>
      <c r="B3" s="1">
        <v>15379</v>
      </c>
      <c r="C3" s="2" t="s">
        <v>104</v>
      </c>
      <c r="D3" s="2" t="s">
        <v>94</v>
      </c>
      <c r="E3" s="2" t="s">
        <v>74</v>
      </c>
      <c r="F3" s="1">
        <v>3</v>
      </c>
      <c r="G3"/>
      <c r="H3"/>
      <c r="I3">
        <f>IF(ISBLANK(A3),"",1)</f>
        <v>1</v>
      </c>
    </row>
    <row r="4" spans="2:9" ht="12" customHeight="1">
      <c r="B4" s="1">
        <v>20196</v>
      </c>
      <c r="C4" s="2" t="s">
        <v>235</v>
      </c>
      <c r="D4" s="2" t="s">
        <v>236</v>
      </c>
      <c r="E4" s="2" t="s">
        <v>237</v>
      </c>
      <c r="F4" s="1">
        <v>12</v>
      </c>
      <c r="G4"/>
      <c r="H4"/>
      <c r="I4">
        <f aca="true" t="shared" si="0" ref="I4:I67">IF(ISBLANK(A4),"",1)</f>
      </c>
    </row>
    <row r="5" spans="1:9" ht="12" customHeight="1">
      <c r="A5" s="1">
        <v>501</v>
      </c>
      <c r="B5" s="155">
        <v>14266</v>
      </c>
      <c r="C5" s="2" t="s">
        <v>153</v>
      </c>
      <c r="D5" s="156" t="s">
        <v>73</v>
      </c>
      <c r="E5" s="156" t="s">
        <v>154</v>
      </c>
      <c r="F5" s="1">
        <v>6</v>
      </c>
      <c r="G5"/>
      <c r="H5" s="1">
        <v>1</v>
      </c>
      <c r="I5">
        <f t="shared" si="0"/>
        <v>1</v>
      </c>
    </row>
    <row r="6" spans="1:9" ht="12" customHeight="1">
      <c r="A6" s="1">
        <v>50</v>
      </c>
      <c r="B6" s="155">
        <v>20031</v>
      </c>
      <c r="C6" s="2" t="s">
        <v>155</v>
      </c>
      <c r="D6" s="156" t="s">
        <v>73</v>
      </c>
      <c r="E6" s="156" t="s">
        <v>156</v>
      </c>
      <c r="F6" s="1">
        <v>6</v>
      </c>
      <c r="G6"/>
      <c r="H6"/>
      <c r="I6">
        <f t="shared" si="0"/>
        <v>1</v>
      </c>
    </row>
    <row r="7" spans="1:9" ht="12" customHeight="1">
      <c r="A7" s="1">
        <v>103</v>
      </c>
      <c r="B7" s="155">
        <v>12383</v>
      </c>
      <c r="C7" s="2" t="s">
        <v>175</v>
      </c>
      <c r="D7" s="38" t="s">
        <v>230</v>
      </c>
      <c r="E7" s="156" t="s">
        <v>74</v>
      </c>
      <c r="F7" s="155">
        <v>8</v>
      </c>
      <c r="G7" s="155"/>
      <c r="H7"/>
      <c r="I7">
        <f t="shared" si="0"/>
        <v>1</v>
      </c>
    </row>
    <row r="8" spans="2:9" ht="12" customHeight="1">
      <c r="B8" s="1">
        <v>15572</v>
      </c>
      <c r="C8" s="2" t="s">
        <v>162</v>
      </c>
      <c r="D8" s="2" t="s">
        <v>160</v>
      </c>
      <c r="E8" s="2" t="s">
        <v>161</v>
      </c>
      <c r="F8" s="1">
        <v>8</v>
      </c>
      <c r="G8"/>
      <c r="H8"/>
      <c r="I8">
        <f t="shared" si="0"/>
      </c>
    </row>
    <row r="9" spans="1:9" ht="12" customHeight="1">
      <c r="A9" s="1">
        <v>488</v>
      </c>
      <c r="B9" s="1">
        <v>14245</v>
      </c>
      <c r="C9" s="2" t="s">
        <v>137</v>
      </c>
      <c r="D9" s="2" t="s">
        <v>135</v>
      </c>
      <c r="E9" s="162" t="s">
        <v>262</v>
      </c>
      <c r="F9" s="1">
        <v>4</v>
      </c>
      <c r="G9"/>
      <c r="H9"/>
      <c r="I9">
        <f t="shared" si="0"/>
        <v>1</v>
      </c>
    </row>
    <row r="10" spans="1:9" ht="12" customHeight="1">
      <c r="A10" s="1">
        <v>214</v>
      </c>
      <c r="B10" s="1">
        <v>15034</v>
      </c>
      <c r="C10" s="2" t="s">
        <v>108</v>
      </c>
      <c r="D10" s="2" t="s">
        <v>94</v>
      </c>
      <c r="E10" s="162" t="s">
        <v>276</v>
      </c>
      <c r="F10" s="1">
        <v>5</v>
      </c>
      <c r="G10"/>
      <c r="H10"/>
      <c r="I10">
        <f t="shared" si="0"/>
        <v>1</v>
      </c>
    </row>
    <row r="11" spans="2:9" ht="12" customHeight="1">
      <c r="B11" s="155">
        <v>15663</v>
      </c>
      <c r="C11" s="2" t="s">
        <v>151</v>
      </c>
      <c r="D11" s="156" t="s">
        <v>135</v>
      </c>
      <c r="E11" s="156" t="s">
        <v>152</v>
      </c>
      <c r="F11" s="1">
        <v>6</v>
      </c>
      <c r="G11"/>
      <c r="H11"/>
      <c r="I11">
        <f t="shared" si="0"/>
      </c>
    </row>
    <row r="12" spans="2:9" ht="12" customHeight="1">
      <c r="B12" s="1">
        <v>13422</v>
      </c>
      <c r="C12" s="2" t="s">
        <v>246</v>
      </c>
      <c r="D12" s="2" t="s">
        <v>160</v>
      </c>
      <c r="E12" s="2" t="s">
        <v>74</v>
      </c>
      <c r="F12" s="1">
        <v>14</v>
      </c>
      <c r="G12"/>
      <c r="H12"/>
      <c r="I12">
        <f t="shared" si="0"/>
      </c>
    </row>
    <row r="13" spans="2:9" ht="12" customHeight="1">
      <c r="B13"/>
      <c r="C13" s="2" t="s">
        <v>225</v>
      </c>
      <c r="D13" s="2" t="s">
        <v>226</v>
      </c>
      <c r="E13" s="2" t="s">
        <v>141</v>
      </c>
      <c r="F13" s="1">
        <v>11</v>
      </c>
      <c r="G13"/>
      <c r="H13"/>
      <c r="I13">
        <f t="shared" si="0"/>
      </c>
    </row>
    <row r="14" spans="1:9" ht="12" customHeight="1">
      <c r="A14" s="1">
        <v>222</v>
      </c>
      <c r="B14" s="1">
        <v>13612</v>
      </c>
      <c r="C14" s="2" t="s">
        <v>78</v>
      </c>
      <c r="D14" s="2" t="s">
        <v>73</v>
      </c>
      <c r="E14" s="2" t="s">
        <v>74</v>
      </c>
      <c r="F14" s="1">
        <v>2</v>
      </c>
      <c r="G14"/>
      <c r="H14" s="1">
        <v>1</v>
      </c>
      <c r="I14">
        <f t="shared" si="0"/>
        <v>1</v>
      </c>
    </row>
    <row r="15" spans="1:9" ht="12" customHeight="1">
      <c r="A15" s="1">
        <v>224</v>
      </c>
      <c r="B15" s="1">
        <v>40024</v>
      </c>
      <c r="C15" s="2" t="s">
        <v>85</v>
      </c>
      <c r="D15" s="2" t="s">
        <v>73</v>
      </c>
      <c r="E15" s="2" t="s">
        <v>74</v>
      </c>
      <c r="F15" s="1">
        <v>2</v>
      </c>
      <c r="G15"/>
      <c r="H15"/>
      <c r="I15">
        <f t="shared" si="0"/>
        <v>1</v>
      </c>
    </row>
    <row r="16" spans="1:9" ht="12" customHeight="1">
      <c r="A16" s="1">
        <v>223</v>
      </c>
      <c r="B16" s="1">
        <v>40021</v>
      </c>
      <c r="C16" s="162" t="s">
        <v>252</v>
      </c>
      <c r="D16" s="2" t="s">
        <v>73</v>
      </c>
      <c r="E16" s="2" t="s">
        <v>74</v>
      </c>
      <c r="F16" s="1">
        <v>2</v>
      </c>
      <c r="G16"/>
      <c r="H16"/>
      <c r="I16">
        <f t="shared" si="0"/>
        <v>1</v>
      </c>
    </row>
    <row r="17" spans="1:9" ht="12" customHeight="1">
      <c r="A17" s="1">
        <v>395</v>
      </c>
      <c r="B17" s="155"/>
      <c r="C17" s="2" t="s">
        <v>180</v>
      </c>
      <c r="D17" s="38" t="s">
        <v>302</v>
      </c>
      <c r="E17" s="38" t="s">
        <v>184</v>
      </c>
      <c r="F17" s="155">
        <v>7</v>
      </c>
      <c r="G17" s="155"/>
      <c r="H17"/>
      <c r="I17">
        <f t="shared" si="0"/>
        <v>1</v>
      </c>
    </row>
    <row r="18" spans="2:9" ht="12" customHeight="1">
      <c r="B18" s="1">
        <v>15516</v>
      </c>
      <c r="C18" s="2" t="s">
        <v>97</v>
      </c>
      <c r="D18" s="2" t="s">
        <v>94</v>
      </c>
      <c r="E18" s="2" t="s">
        <v>98</v>
      </c>
      <c r="F18" s="1">
        <v>3</v>
      </c>
      <c r="G18" s="1">
        <v>1</v>
      </c>
      <c r="H18" s="1">
        <v>1</v>
      </c>
      <c r="I18">
        <f t="shared" si="0"/>
      </c>
    </row>
    <row r="19" spans="2:9" ht="12" customHeight="1">
      <c r="B19" s="1">
        <v>15033</v>
      </c>
      <c r="C19" s="2" t="s">
        <v>102</v>
      </c>
      <c r="D19" s="2" t="s">
        <v>94</v>
      </c>
      <c r="E19" s="2" t="s">
        <v>98</v>
      </c>
      <c r="F19" s="1">
        <v>3</v>
      </c>
      <c r="G19"/>
      <c r="H19"/>
      <c r="I19">
        <f t="shared" si="0"/>
      </c>
    </row>
    <row r="20" spans="2:9" ht="12" customHeight="1">
      <c r="B20" s="155">
        <v>14940</v>
      </c>
      <c r="C20" s="2" t="s">
        <v>187</v>
      </c>
      <c r="D20" s="156" t="s">
        <v>164</v>
      </c>
      <c r="E20" s="156" t="s">
        <v>186</v>
      </c>
      <c r="F20" s="155">
        <v>9</v>
      </c>
      <c r="G20" s="155"/>
      <c r="H20"/>
      <c r="I20">
        <f t="shared" si="0"/>
      </c>
    </row>
    <row r="21" spans="1:9" ht="12" customHeight="1">
      <c r="A21" s="1">
        <v>133</v>
      </c>
      <c r="B21" s="1">
        <v>20202</v>
      </c>
      <c r="C21" s="2" t="s">
        <v>100</v>
      </c>
      <c r="D21" s="2" t="s">
        <v>94</v>
      </c>
      <c r="E21" s="162" t="s">
        <v>254</v>
      </c>
      <c r="F21" s="1">
        <v>3</v>
      </c>
      <c r="G21"/>
      <c r="H21"/>
      <c r="I21">
        <f t="shared" si="0"/>
        <v>1</v>
      </c>
    </row>
    <row r="22" spans="1:9" ht="12" customHeight="1">
      <c r="A22" s="1">
        <v>969</v>
      </c>
      <c r="B22" s="1">
        <v>14889</v>
      </c>
      <c r="C22" s="2" t="s">
        <v>84</v>
      </c>
      <c r="D22" s="2" t="s">
        <v>71</v>
      </c>
      <c r="E22" s="2" t="s">
        <v>72</v>
      </c>
      <c r="F22" s="1">
        <v>8</v>
      </c>
      <c r="G22"/>
      <c r="H22"/>
      <c r="I22">
        <f t="shared" si="0"/>
        <v>1</v>
      </c>
    </row>
    <row r="23" spans="2:9" ht="12" customHeight="1">
      <c r="B23" s="1">
        <v>14890</v>
      </c>
      <c r="C23" s="2" t="s">
        <v>70</v>
      </c>
      <c r="D23" s="2" t="s">
        <v>71</v>
      </c>
      <c r="E23" s="2" t="s">
        <v>72</v>
      </c>
      <c r="F23" s="1">
        <v>2</v>
      </c>
      <c r="G23"/>
      <c r="H23"/>
      <c r="I23">
        <f t="shared" si="0"/>
      </c>
    </row>
    <row r="24" spans="1:9" ht="12" customHeight="1">
      <c r="A24" s="1">
        <v>12</v>
      </c>
      <c r="B24" s="1">
        <v>20074</v>
      </c>
      <c r="C24" s="2" t="s">
        <v>203</v>
      </c>
      <c r="D24" s="2" t="s">
        <v>94</v>
      </c>
      <c r="E24" s="2" t="s">
        <v>122</v>
      </c>
      <c r="F24" s="1">
        <v>11</v>
      </c>
      <c r="G24"/>
      <c r="H24"/>
      <c r="I24">
        <f t="shared" si="0"/>
        <v>1</v>
      </c>
    </row>
    <row r="25" spans="1:9" ht="12" customHeight="1">
      <c r="A25" s="1">
        <v>212</v>
      </c>
      <c r="B25" s="155">
        <v>12864</v>
      </c>
      <c r="C25" s="2" t="s">
        <v>129</v>
      </c>
      <c r="D25" s="156" t="s">
        <v>94</v>
      </c>
      <c r="E25" s="38" t="s">
        <v>276</v>
      </c>
      <c r="F25" s="155">
        <v>5</v>
      </c>
      <c r="G25" s="155"/>
      <c r="H25"/>
      <c r="I25">
        <f t="shared" si="0"/>
        <v>1</v>
      </c>
    </row>
    <row r="26" spans="1:9" ht="12" customHeight="1">
      <c r="A26" s="1">
        <v>2</v>
      </c>
      <c r="B26" s="155">
        <v>14885</v>
      </c>
      <c r="C26" s="2" t="s">
        <v>130</v>
      </c>
      <c r="D26" s="156" t="s">
        <v>92</v>
      </c>
      <c r="E26" s="38" t="s">
        <v>288</v>
      </c>
      <c r="F26" s="155">
        <v>5</v>
      </c>
      <c r="G26" s="155"/>
      <c r="H26"/>
      <c r="I26">
        <f t="shared" si="0"/>
        <v>1</v>
      </c>
    </row>
    <row r="27" spans="1:9" ht="12" customHeight="1">
      <c r="A27" s="1">
        <v>231</v>
      </c>
      <c r="B27" s="155">
        <v>15449</v>
      </c>
      <c r="C27" s="2" t="s">
        <v>146</v>
      </c>
      <c r="D27" s="156" t="s">
        <v>144</v>
      </c>
      <c r="E27" s="156" t="s">
        <v>145</v>
      </c>
      <c r="F27" s="155">
        <v>6</v>
      </c>
      <c r="G27" s="155"/>
      <c r="H27"/>
      <c r="I27">
        <f t="shared" si="0"/>
        <v>1</v>
      </c>
    </row>
    <row r="28" spans="1:9" ht="12" customHeight="1">
      <c r="A28" s="1">
        <v>230</v>
      </c>
      <c r="B28" s="1">
        <v>15448</v>
      </c>
      <c r="C28" s="2" t="s">
        <v>143</v>
      </c>
      <c r="D28" s="2" t="s">
        <v>144</v>
      </c>
      <c r="E28" s="2" t="s">
        <v>145</v>
      </c>
      <c r="F28" s="1">
        <v>6</v>
      </c>
      <c r="G28"/>
      <c r="H28"/>
      <c r="I28">
        <f t="shared" si="0"/>
        <v>1</v>
      </c>
    </row>
    <row r="29" spans="1:9" ht="12" customHeight="1">
      <c r="A29" s="1">
        <v>300</v>
      </c>
      <c r="B29"/>
      <c r="C29" s="2" t="s">
        <v>165</v>
      </c>
      <c r="D29" s="162" t="s">
        <v>94</v>
      </c>
      <c r="E29" s="2" t="s">
        <v>167</v>
      </c>
      <c r="F29" s="1">
        <v>7</v>
      </c>
      <c r="G29"/>
      <c r="H29"/>
      <c r="I29">
        <f t="shared" si="0"/>
        <v>1</v>
      </c>
    </row>
    <row r="30" spans="2:9" ht="12" customHeight="1">
      <c r="B30"/>
      <c r="C30" s="2" t="s">
        <v>168</v>
      </c>
      <c r="D30" s="2" t="s">
        <v>166</v>
      </c>
      <c r="E30" s="2" t="s">
        <v>169</v>
      </c>
      <c r="F30" s="1">
        <v>7</v>
      </c>
      <c r="G30"/>
      <c r="H30"/>
      <c r="I30">
        <f t="shared" si="0"/>
      </c>
    </row>
    <row r="31" spans="1:9" ht="12" customHeight="1">
      <c r="A31" s="1">
        <v>306</v>
      </c>
      <c r="B31" s="157">
        <v>15767</v>
      </c>
      <c r="C31" s="2" t="s">
        <v>91</v>
      </c>
      <c r="D31" s="38" t="s">
        <v>92</v>
      </c>
      <c r="E31" s="38" t="s">
        <v>249</v>
      </c>
      <c r="F31" s="157">
        <v>2</v>
      </c>
      <c r="G31" s="157">
        <v>1</v>
      </c>
      <c r="H31"/>
      <c r="I31">
        <f t="shared" si="0"/>
        <v>1</v>
      </c>
    </row>
    <row r="32" spans="2:9" ht="12" customHeight="1">
      <c r="B32" s="1">
        <v>14817</v>
      </c>
      <c r="C32" s="2" t="s">
        <v>88</v>
      </c>
      <c r="D32" s="158" t="s">
        <v>83</v>
      </c>
      <c r="E32" s="2" t="s">
        <v>74</v>
      </c>
      <c r="F32" s="1">
        <v>2</v>
      </c>
      <c r="G32"/>
      <c r="H32" s="1">
        <v>1</v>
      </c>
      <c r="I32">
        <f t="shared" si="0"/>
      </c>
    </row>
    <row r="33" spans="1:9" ht="12" customHeight="1">
      <c r="A33" s="1">
        <v>55</v>
      </c>
      <c r="B33" s="1">
        <v>15356</v>
      </c>
      <c r="C33" s="2" t="s">
        <v>75</v>
      </c>
      <c r="D33" s="2" t="s">
        <v>76</v>
      </c>
      <c r="E33" s="2" t="s">
        <v>77</v>
      </c>
      <c r="F33" s="1">
        <v>1</v>
      </c>
      <c r="G33" s="1">
        <v>1</v>
      </c>
      <c r="H33" s="1">
        <v>1</v>
      </c>
      <c r="I33">
        <f t="shared" si="0"/>
        <v>1</v>
      </c>
    </row>
    <row r="34" spans="1:9" ht="12" customHeight="1">
      <c r="A34" s="1">
        <v>955</v>
      </c>
      <c r="B34" s="1">
        <v>15264</v>
      </c>
      <c r="C34" s="2" t="s">
        <v>86</v>
      </c>
      <c r="D34" s="2" t="s">
        <v>76</v>
      </c>
      <c r="E34" s="2" t="s">
        <v>77</v>
      </c>
      <c r="F34" s="1">
        <v>1</v>
      </c>
      <c r="G34"/>
      <c r="H34"/>
      <c r="I34">
        <f t="shared" si="0"/>
        <v>1</v>
      </c>
    </row>
    <row r="35" spans="1:9" ht="12" customHeight="1">
      <c r="A35" s="1">
        <v>249</v>
      </c>
      <c r="B35" s="155">
        <v>15179</v>
      </c>
      <c r="C35" s="2" t="s">
        <v>142</v>
      </c>
      <c r="D35" s="156" t="s">
        <v>76</v>
      </c>
      <c r="E35" s="156" t="s">
        <v>120</v>
      </c>
      <c r="F35" s="1">
        <v>5</v>
      </c>
      <c r="G35"/>
      <c r="H35"/>
      <c r="I35">
        <f t="shared" si="0"/>
        <v>1</v>
      </c>
    </row>
    <row r="36" spans="1:9" ht="12" customHeight="1">
      <c r="A36" s="1">
        <v>49</v>
      </c>
      <c r="B36" s="1">
        <v>13940</v>
      </c>
      <c r="C36" s="2" t="s">
        <v>119</v>
      </c>
      <c r="D36" s="2" t="s">
        <v>76</v>
      </c>
      <c r="E36" s="2" t="s">
        <v>120</v>
      </c>
      <c r="F36" s="1">
        <v>5</v>
      </c>
      <c r="G36"/>
      <c r="H36"/>
      <c r="I36">
        <f t="shared" si="0"/>
        <v>1</v>
      </c>
    </row>
    <row r="37" spans="1:9" ht="12" customHeight="1">
      <c r="A37" s="1">
        <v>122</v>
      </c>
      <c r="B37" s="155">
        <v>20029</v>
      </c>
      <c r="C37" s="2" t="s">
        <v>147</v>
      </c>
      <c r="D37" s="156" t="s">
        <v>76</v>
      </c>
      <c r="E37" s="38" t="s">
        <v>280</v>
      </c>
      <c r="F37" s="1">
        <v>6</v>
      </c>
      <c r="G37"/>
      <c r="H37"/>
      <c r="I37">
        <f t="shared" si="0"/>
        <v>1</v>
      </c>
    </row>
    <row r="38" spans="2:9" ht="12" customHeight="1">
      <c r="B38" s="1">
        <v>40074</v>
      </c>
      <c r="C38" s="2" t="s">
        <v>116</v>
      </c>
      <c r="D38" s="2" t="s">
        <v>117</v>
      </c>
      <c r="E38" s="2" t="s">
        <v>118</v>
      </c>
      <c r="F38" s="1">
        <v>5</v>
      </c>
      <c r="G38"/>
      <c r="H38" s="1">
        <v>1</v>
      </c>
      <c r="I38">
        <f t="shared" si="0"/>
      </c>
    </row>
    <row r="39" spans="1:9" ht="12" customHeight="1">
      <c r="A39" s="1">
        <v>127</v>
      </c>
      <c r="B39" s="1">
        <v>15446</v>
      </c>
      <c r="C39" s="2" t="s">
        <v>107</v>
      </c>
      <c r="D39" s="2" t="s">
        <v>92</v>
      </c>
      <c r="E39" s="2" t="s">
        <v>74</v>
      </c>
      <c r="F39" s="1">
        <v>3</v>
      </c>
      <c r="G39"/>
      <c r="H39"/>
      <c r="I39">
        <f t="shared" si="0"/>
        <v>1</v>
      </c>
    </row>
    <row r="40" spans="1:9" ht="12" customHeight="1">
      <c r="A40" s="1">
        <v>464</v>
      </c>
      <c r="B40" s="155">
        <v>14499</v>
      </c>
      <c r="C40" s="2" t="s">
        <v>126</v>
      </c>
      <c r="D40" s="156" t="s">
        <v>92</v>
      </c>
      <c r="E40" s="156" t="s">
        <v>111</v>
      </c>
      <c r="F40" s="1">
        <v>4</v>
      </c>
      <c r="G40"/>
      <c r="H40" s="1">
        <v>1</v>
      </c>
      <c r="I40">
        <f t="shared" si="0"/>
        <v>1</v>
      </c>
    </row>
    <row r="41" spans="1:9" ht="12" customHeight="1">
      <c r="A41" s="1">
        <v>484</v>
      </c>
      <c r="B41" s="1">
        <v>14234</v>
      </c>
      <c r="C41" s="2" t="s">
        <v>202</v>
      </c>
      <c r="D41" s="2" t="s">
        <v>92</v>
      </c>
      <c r="E41" s="2" t="s">
        <v>122</v>
      </c>
      <c r="F41" s="1">
        <v>11</v>
      </c>
      <c r="G41"/>
      <c r="H41"/>
      <c r="I41">
        <f t="shared" si="0"/>
        <v>1</v>
      </c>
    </row>
    <row r="42" spans="1:9" ht="12" customHeight="1">
      <c r="A42" s="1">
        <v>26</v>
      </c>
      <c r="B42" s="155">
        <v>15530</v>
      </c>
      <c r="C42" s="2" t="s">
        <v>205</v>
      </c>
      <c r="D42" s="156" t="s">
        <v>191</v>
      </c>
      <c r="E42" s="38" t="s">
        <v>319</v>
      </c>
      <c r="F42" s="155">
        <v>10</v>
      </c>
      <c r="G42" s="155"/>
      <c r="H42"/>
      <c r="I42">
        <f t="shared" si="0"/>
        <v>1</v>
      </c>
    </row>
    <row r="43" spans="1:9" ht="12" customHeight="1">
      <c r="A43" s="1">
        <v>9</v>
      </c>
      <c r="B43" s="1">
        <v>12949</v>
      </c>
      <c r="C43" s="2" t="s">
        <v>134</v>
      </c>
      <c r="D43" s="2" t="s">
        <v>135</v>
      </c>
      <c r="E43" s="2" t="s">
        <v>136</v>
      </c>
      <c r="F43" s="1">
        <v>4</v>
      </c>
      <c r="G43"/>
      <c r="H43"/>
      <c r="I43">
        <f t="shared" si="0"/>
        <v>1</v>
      </c>
    </row>
    <row r="44" spans="2:9" ht="12" customHeight="1">
      <c r="B44" s="1">
        <v>14635</v>
      </c>
      <c r="C44" s="2" t="s">
        <v>123</v>
      </c>
      <c r="D44" s="2" t="s">
        <v>124</v>
      </c>
      <c r="E44" s="2" t="s">
        <v>125</v>
      </c>
      <c r="F44" s="1">
        <v>4</v>
      </c>
      <c r="G44"/>
      <c r="H44"/>
      <c r="I44">
        <f t="shared" si="0"/>
      </c>
    </row>
    <row r="45" spans="1:9" ht="12" customHeight="1">
      <c r="A45" s="1">
        <v>89</v>
      </c>
      <c r="B45" s="1">
        <v>12129</v>
      </c>
      <c r="C45" s="2" t="s">
        <v>131</v>
      </c>
      <c r="D45" s="2" t="s">
        <v>132</v>
      </c>
      <c r="E45" s="2" t="s">
        <v>133</v>
      </c>
      <c r="F45" s="1">
        <v>4</v>
      </c>
      <c r="H45"/>
      <c r="I45">
        <f t="shared" si="0"/>
        <v>1</v>
      </c>
    </row>
    <row r="46" spans="1:9" ht="12" customHeight="1">
      <c r="A46" s="1">
        <v>215</v>
      </c>
      <c r="B46" s="1">
        <v>14253</v>
      </c>
      <c r="C46" s="2" t="s">
        <v>121</v>
      </c>
      <c r="D46" s="2" t="s">
        <v>94</v>
      </c>
      <c r="E46" s="162" t="s">
        <v>283</v>
      </c>
      <c r="F46" s="1">
        <v>5</v>
      </c>
      <c r="G46"/>
      <c r="H46"/>
      <c r="I46">
        <f t="shared" si="0"/>
        <v>1</v>
      </c>
    </row>
    <row r="47" spans="1:9" ht="12" customHeight="1">
      <c r="A47" s="1">
        <v>48</v>
      </c>
      <c r="B47" s="1">
        <v>11597</v>
      </c>
      <c r="C47" s="2" t="s">
        <v>93</v>
      </c>
      <c r="D47" s="2" t="s">
        <v>94</v>
      </c>
      <c r="E47" s="2" t="s">
        <v>95</v>
      </c>
      <c r="F47" s="1">
        <v>1</v>
      </c>
      <c r="G47"/>
      <c r="H47"/>
      <c r="I47">
        <f t="shared" si="0"/>
        <v>1</v>
      </c>
    </row>
    <row r="48" spans="1:9" ht="12" customHeight="1">
      <c r="A48" s="1">
        <v>327</v>
      </c>
      <c r="B48" s="155"/>
      <c r="C48" s="2" t="s">
        <v>170</v>
      </c>
      <c r="D48" s="156" t="s">
        <v>171</v>
      </c>
      <c r="E48" s="156" t="s">
        <v>172</v>
      </c>
      <c r="F48" s="155">
        <v>7</v>
      </c>
      <c r="G48" s="155"/>
      <c r="H48"/>
      <c r="I48">
        <f t="shared" si="0"/>
        <v>1</v>
      </c>
    </row>
    <row r="49" spans="1:9" ht="12" customHeight="1">
      <c r="A49" s="1">
        <v>243</v>
      </c>
      <c r="B49" s="1">
        <v>15480</v>
      </c>
      <c r="C49" s="2" t="s">
        <v>99</v>
      </c>
      <c r="D49" s="2" t="s">
        <v>94</v>
      </c>
      <c r="E49" s="2" t="s">
        <v>74</v>
      </c>
      <c r="F49" s="1">
        <v>3</v>
      </c>
      <c r="G49"/>
      <c r="H49"/>
      <c r="I49">
        <f t="shared" si="0"/>
        <v>1</v>
      </c>
    </row>
    <row r="50" spans="1:9" ht="12" customHeight="1">
      <c r="A50" s="1">
        <v>143</v>
      </c>
      <c r="B50" s="155">
        <v>15479</v>
      </c>
      <c r="C50" s="2" t="s">
        <v>103</v>
      </c>
      <c r="D50" s="38" t="s">
        <v>94</v>
      </c>
      <c r="E50" s="156" t="s">
        <v>74</v>
      </c>
      <c r="F50" s="155">
        <v>3</v>
      </c>
      <c r="G50" s="155"/>
      <c r="H50"/>
      <c r="I50">
        <f t="shared" si="0"/>
        <v>1</v>
      </c>
    </row>
    <row r="51" spans="2:9" ht="12" customHeight="1">
      <c r="B51" s="1">
        <v>13571</v>
      </c>
      <c r="C51" s="2" t="s">
        <v>106</v>
      </c>
      <c r="D51" s="2" t="s">
        <v>92</v>
      </c>
      <c r="E51" s="2" t="s">
        <v>101</v>
      </c>
      <c r="F51" s="1">
        <v>3</v>
      </c>
      <c r="G51"/>
      <c r="H51"/>
      <c r="I51">
        <f t="shared" si="0"/>
      </c>
    </row>
    <row r="52" spans="1:9" ht="12" customHeight="1">
      <c r="A52" s="1">
        <v>461</v>
      </c>
      <c r="B52" s="155">
        <v>12775</v>
      </c>
      <c r="C52" s="2" t="s">
        <v>198</v>
      </c>
      <c r="D52" s="156" t="s">
        <v>191</v>
      </c>
      <c r="E52" s="156" t="s">
        <v>74</v>
      </c>
      <c r="F52" s="155">
        <v>9</v>
      </c>
      <c r="G52" s="155"/>
      <c r="H52"/>
      <c r="I52">
        <f t="shared" si="0"/>
        <v>1</v>
      </c>
    </row>
    <row r="53" spans="2:9" ht="12" customHeight="1">
      <c r="B53" s="1">
        <v>14123</v>
      </c>
      <c r="C53" s="2" t="s">
        <v>214</v>
      </c>
      <c r="D53" s="2" t="s">
        <v>160</v>
      </c>
      <c r="E53" s="2" t="s">
        <v>215</v>
      </c>
      <c r="F53" s="1">
        <v>11</v>
      </c>
      <c r="G53"/>
      <c r="H53"/>
      <c r="I53">
        <f t="shared" si="0"/>
      </c>
    </row>
    <row r="54" spans="1:9" ht="12" customHeight="1">
      <c r="A54" s="1">
        <v>960</v>
      </c>
      <c r="B54" s="155">
        <v>9739</v>
      </c>
      <c r="C54" s="2" t="s">
        <v>194</v>
      </c>
      <c r="D54" s="156" t="s">
        <v>195</v>
      </c>
      <c r="E54" s="156" t="s">
        <v>179</v>
      </c>
      <c r="F54" s="155">
        <v>9</v>
      </c>
      <c r="G54" s="155"/>
      <c r="H54"/>
      <c r="I54">
        <f t="shared" si="0"/>
        <v>1</v>
      </c>
    </row>
    <row r="55" spans="1:9" ht="12" customHeight="1">
      <c r="A55" s="1">
        <v>168</v>
      </c>
      <c r="B55" s="155">
        <v>15291</v>
      </c>
      <c r="C55" s="2" t="s">
        <v>219</v>
      </c>
      <c r="D55" s="38" t="s">
        <v>325</v>
      </c>
      <c r="E55" s="156" t="s">
        <v>221</v>
      </c>
      <c r="F55" s="1">
        <v>10</v>
      </c>
      <c r="G55"/>
      <c r="H55"/>
      <c r="I55">
        <f t="shared" si="0"/>
        <v>1</v>
      </c>
    </row>
    <row r="56" spans="2:9" ht="12" customHeight="1">
      <c r="B56" s="1">
        <v>14304</v>
      </c>
      <c r="C56" s="2" t="s">
        <v>82</v>
      </c>
      <c r="D56" s="2" t="s">
        <v>83</v>
      </c>
      <c r="E56" s="2" t="s">
        <v>74</v>
      </c>
      <c r="F56" s="1">
        <v>2</v>
      </c>
      <c r="G56"/>
      <c r="H56"/>
      <c r="I56">
        <f t="shared" si="0"/>
      </c>
    </row>
    <row r="57" spans="1:9" ht="12" customHeight="1">
      <c r="A57" s="1">
        <v>458</v>
      </c>
      <c r="B57" s="155">
        <v>20208</v>
      </c>
      <c r="C57" s="2" t="s">
        <v>197</v>
      </c>
      <c r="D57" s="156" t="s">
        <v>178</v>
      </c>
      <c r="E57" s="156" t="s">
        <v>74</v>
      </c>
      <c r="F57" s="1">
        <v>9</v>
      </c>
      <c r="G57"/>
      <c r="H57"/>
      <c r="I57">
        <f t="shared" si="0"/>
        <v>1</v>
      </c>
    </row>
    <row r="58" spans="2:9" ht="12" customHeight="1">
      <c r="B58" s="155">
        <v>20119</v>
      </c>
      <c r="C58" s="2" t="s">
        <v>177</v>
      </c>
      <c r="D58" s="156" t="s">
        <v>178</v>
      </c>
      <c r="E58" s="156" t="s">
        <v>179</v>
      </c>
      <c r="F58" s="155">
        <v>8</v>
      </c>
      <c r="G58" s="155"/>
      <c r="H58"/>
      <c r="I58">
        <f t="shared" si="0"/>
      </c>
    </row>
    <row r="59" spans="1:9" ht="12" customHeight="1">
      <c r="A59" s="1">
        <v>149</v>
      </c>
      <c r="B59" s="1">
        <v>14907</v>
      </c>
      <c r="C59" s="2" t="s">
        <v>127</v>
      </c>
      <c r="D59" s="2" t="s">
        <v>73</v>
      </c>
      <c r="E59" s="2" t="s">
        <v>113</v>
      </c>
      <c r="F59" s="1">
        <v>4</v>
      </c>
      <c r="G59"/>
      <c r="H59"/>
      <c r="I59">
        <f t="shared" si="0"/>
        <v>1</v>
      </c>
    </row>
    <row r="60" spans="1:9" ht="12" customHeight="1">
      <c r="A60" s="1">
        <v>112</v>
      </c>
      <c r="B60" s="1">
        <v>20769</v>
      </c>
      <c r="C60" s="2" t="s">
        <v>105</v>
      </c>
      <c r="D60" s="162" t="s">
        <v>253</v>
      </c>
      <c r="E60" s="2" t="s">
        <v>74</v>
      </c>
      <c r="F60" s="1">
        <v>3</v>
      </c>
      <c r="G60"/>
      <c r="H60"/>
      <c r="I60">
        <f t="shared" si="0"/>
        <v>1</v>
      </c>
    </row>
    <row r="61" spans="2:9" ht="12" customHeight="1">
      <c r="B61" s="1">
        <v>15597</v>
      </c>
      <c r="C61" s="2" t="s">
        <v>243</v>
      </c>
      <c r="D61" s="2" t="s">
        <v>244</v>
      </c>
      <c r="E61" s="2" t="s">
        <v>245</v>
      </c>
      <c r="F61" s="1">
        <v>14</v>
      </c>
      <c r="G61"/>
      <c r="H61"/>
      <c r="I61">
        <f t="shared" si="0"/>
      </c>
    </row>
    <row r="62" spans="1:9" ht="12" customHeight="1">
      <c r="A62" s="1">
        <v>499</v>
      </c>
      <c r="B62" s="155"/>
      <c r="C62" s="2" t="s">
        <v>181</v>
      </c>
      <c r="D62" s="156" t="s">
        <v>92</v>
      </c>
      <c r="E62" s="156" t="s">
        <v>182</v>
      </c>
      <c r="F62" s="155">
        <v>8</v>
      </c>
      <c r="G62" s="155"/>
      <c r="H62"/>
      <c r="I62">
        <f t="shared" si="0"/>
        <v>1</v>
      </c>
    </row>
    <row r="63" spans="2:9" ht="12" customHeight="1">
      <c r="B63" s="1">
        <v>14032</v>
      </c>
      <c r="C63" s="2" t="s">
        <v>159</v>
      </c>
      <c r="D63" s="2" t="s">
        <v>160</v>
      </c>
      <c r="E63" s="2" t="s">
        <v>161</v>
      </c>
      <c r="F63" s="1">
        <v>8</v>
      </c>
      <c r="G63"/>
      <c r="H63"/>
      <c r="I63">
        <f t="shared" si="0"/>
      </c>
    </row>
    <row r="64" spans="2:9" ht="12" customHeight="1">
      <c r="B64"/>
      <c r="C64" s="2" t="s">
        <v>238</v>
      </c>
      <c r="D64"/>
      <c r="E64" s="2" t="s">
        <v>239</v>
      </c>
      <c r="F64" s="1">
        <v>12</v>
      </c>
      <c r="G64"/>
      <c r="H64"/>
      <c r="I64">
        <f t="shared" si="0"/>
      </c>
    </row>
    <row r="65" spans="2:9" ht="12" customHeight="1">
      <c r="B65" s="155">
        <v>14345</v>
      </c>
      <c r="C65" s="2" t="s">
        <v>188</v>
      </c>
      <c r="D65" s="156" t="s">
        <v>189</v>
      </c>
      <c r="E65" s="156" t="s">
        <v>186</v>
      </c>
      <c r="F65" s="155">
        <v>9</v>
      </c>
      <c r="G65" s="155"/>
      <c r="H65"/>
      <c r="I65">
        <f t="shared" si="0"/>
      </c>
    </row>
    <row r="66" spans="2:9" ht="12" customHeight="1">
      <c r="B66"/>
      <c r="C66" s="2" t="s">
        <v>227</v>
      </c>
      <c r="D66" s="2" t="s">
        <v>226</v>
      </c>
      <c r="E66" s="2" t="s">
        <v>228</v>
      </c>
      <c r="F66" s="1">
        <v>11</v>
      </c>
      <c r="G66"/>
      <c r="H66"/>
      <c r="I66">
        <f t="shared" si="0"/>
      </c>
    </row>
    <row r="67" spans="1:9" ht="12" customHeight="1">
      <c r="A67" s="1">
        <v>102</v>
      </c>
      <c r="B67" s="1">
        <v>20160</v>
      </c>
      <c r="C67" s="2" t="s">
        <v>150</v>
      </c>
      <c r="D67" s="2" t="s">
        <v>76</v>
      </c>
      <c r="E67" s="162" t="s">
        <v>275</v>
      </c>
      <c r="F67" s="1">
        <v>6</v>
      </c>
      <c r="G67"/>
      <c r="H67"/>
      <c r="I67">
        <f t="shared" si="0"/>
        <v>1</v>
      </c>
    </row>
    <row r="68" spans="1:9" ht="12" customHeight="1">
      <c r="A68" s="1">
        <v>150</v>
      </c>
      <c r="B68" s="1">
        <v>15086</v>
      </c>
      <c r="C68" s="2" t="s">
        <v>149</v>
      </c>
      <c r="D68" s="2" t="s">
        <v>76</v>
      </c>
      <c r="E68" s="162" t="s">
        <v>275</v>
      </c>
      <c r="F68" s="1">
        <v>6</v>
      </c>
      <c r="G68"/>
      <c r="H68"/>
      <c r="I68">
        <f aca="true" t="shared" si="1" ref="I68:I131">IF(ISBLANK(A68),"",1)</f>
        <v>1</v>
      </c>
    </row>
    <row r="69" spans="2:9" ht="12" customHeight="1">
      <c r="B69" s="1">
        <v>15052</v>
      </c>
      <c r="C69" s="2" t="s">
        <v>231</v>
      </c>
      <c r="D69" s="162" t="s">
        <v>304</v>
      </c>
      <c r="E69" s="2" t="s">
        <v>232</v>
      </c>
      <c r="F69" s="1">
        <v>14</v>
      </c>
      <c r="G69"/>
      <c r="H69"/>
      <c r="I69">
        <f t="shared" si="1"/>
      </c>
    </row>
    <row r="70" spans="2:9" ht="12" customHeight="1">
      <c r="B70" s="1">
        <v>10916</v>
      </c>
      <c r="C70" s="2" t="s">
        <v>204</v>
      </c>
      <c r="D70" s="2" t="s">
        <v>94</v>
      </c>
      <c r="E70" s="2" t="s">
        <v>122</v>
      </c>
      <c r="F70" s="1">
        <v>11</v>
      </c>
      <c r="G70"/>
      <c r="H70"/>
      <c r="I70">
        <f t="shared" si="1"/>
      </c>
    </row>
    <row r="71" spans="2:9" ht="12" customHeight="1">
      <c r="B71"/>
      <c r="C71" s="2" t="s">
        <v>233</v>
      </c>
      <c r="D71" s="2" t="s">
        <v>94</v>
      </c>
      <c r="E71" s="2" t="s">
        <v>234</v>
      </c>
      <c r="F71" s="1">
        <v>10</v>
      </c>
      <c r="G71"/>
      <c r="H71"/>
      <c r="I71">
        <f t="shared" si="1"/>
      </c>
    </row>
    <row r="72" spans="1:9" ht="12" customHeight="1">
      <c r="A72" s="1">
        <v>81</v>
      </c>
      <c r="B72" s="1">
        <v>15242</v>
      </c>
      <c r="C72" s="2" t="s">
        <v>209</v>
      </c>
      <c r="D72" s="2" t="s">
        <v>94</v>
      </c>
      <c r="E72" s="2" t="s">
        <v>210</v>
      </c>
      <c r="F72" s="1">
        <v>10</v>
      </c>
      <c r="G72"/>
      <c r="H72"/>
      <c r="I72">
        <f t="shared" si="1"/>
        <v>1</v>
      </c>
    </row>
    <row r="73" spans="1:9" ht="12" customHeight="1">
      <c r="A73" s="1">
        <v>147</v>
      </c>
      <c r="B73" s="1">
        <v>13610</v>
      </c>
      <c r="C73" s="2" t="s">
        <v>112</v>
      </c>
      <c r="D73" s="2" t="s">
        <v>73</v>
      </c>
      <c r="E73" s="2" t="s">
        <v>113</v>
      </c>
      <c r="F73" s="1">
        <v>4</v>
      </c>
      <c r="G73"/>
      <c r="H73"/>
      <c r="I73">
        <f t="shared" si="1"/>
        <v>1</v>
      </c>
    </row>
    <row r="74" spans="2:9" ht="12" customHeight="1">
      <c r="B74" s="155">
        <v>11732</v>
      </c>
      <c r="C74" s="2" t="s">
        <v>114</v>
      </c>
      <c r="D74" s="156" t="s">
        <v>115</v>
      </c>
      <c r="E74" s="38" t="s">
        <v>347</v>
      </c>
      <c r="F74" s="155">
        <v>4</v>
      </c>
      <c r="G74" s="155"/>
      <c r="H74"/>
      <c r="I74">
        <f t="shared" si="1"/>
      </c>
    </row>
    <row r="75" spans="1:9" ht="12" customHeight="1">
      <c r="A75" s="1">
        <v>16</v>
      </c>
      <c r="B75" s="155">
        <v>15531</v>
      </c>
      <c r="C75" s="162" t="s">
        <v>314</v>
      </c>
      <c r="D75" s="38" t="s">
        <v>313</v>
      </c>
      <c r="E75" s="38" t="s">
        <v>122</v>
      </c>
      <c r="F75" s="155">
        <v>14</v>
      </c>
      <c r="G75" s="155">
        <v>1</v>
      </c>
      <c r="H75" s="1">
        <v>1</v>
      </c>
      <c r="I75">
        <f t="shared" si="1"/>
        <v>1</v>
      </c>
    </row>
    <row r="76" spans="2:9" ht="12" customHeight="1">
      <c r="B76" s="1">
        <v>14974</v>
      </c>
      <c r="C76" s="2" t="s">
        <v>213</v>
      </c>
      <c r="D76" s="2" t="s">
        <v>92</v>
      </c>
      <c r="E76" s="2" t="s">
        <v>208</v>
      </c>
      <c r="F76" s="1">
        <v>10</v>
      </c>
      <c r="G76"/>
      <c r="H76"/>
      <c r="I76">
        <f t="shared" si="1"/>
      </c>
    </row>
    <row r="77" spans="2:9" ht="12" customHeight="1">
      <c r="B77" s="155">
        <v>15398</v>
      </c>
      <c r="C77" s="2" t="s">
        <v>207</v>
      </c>
      <c r="D77" s="156"/>
      <c r="E77" s="156" t="s">
        <v>208</v>
      </c>
      <c r="F77" s="1">
        <v>10</v>
      </c>
      <c r="G77"/>
      <c r="H77"/>
      <c r="I77">
        <f t="shared" si="1"/>
      </c>
    </row>
    <row r="78" spans="1:9" ht="12" customHeight="1">
      <c r="A78" s="1">
        <v>76</v>
      </c>
      <c r="B78" s="155">
        <v>40063</v>
      </c>
      <c r="C78" s="2" t="s">
        <v>199</v>
      </c>
      <c r="D78" s="156" t="s">
        <v>191</v>
      </c>
      <c r="E78" s="156" t="s">
        <v>186</v>
      </c>
      <c r="F78" s="1">
        <v>9</v>
      </c>
      <c r="G78"/>
      <c r="H78"/>
      <c r="I78">
        <f t="shared" si="1"/>
        <v>1</v>
      </c>
    </row>
    <row r="79" spans="1:9" ht="12" customHeight="1">
      <c r="A79" s="1">
        <v>188</v>
      </c>
      <c r="B79" s="155">
        <v>13133</v>
      </c>
      <c r="C79" s="2" t="s">
        <v>192</v>
      </c>
      <c r="D79" s="156" t="s">
        <v>191</v>
      </c>
      <c r="E79" s="156" t="s">
        <v>186</v>
      </c>
      <c r="F79" s="155">
        <v>9</v>
      </c>
      <c r="G79" s="155"/>
      <c r="H79"/>
      <c r="I79">
        <f t="shared" si="1"/>
        <v>1</v>
      </c>
    </row>
    <row r="80" spans="1:9" ht="12" customHeight="1">
      <c r="A80" s="1">
        <v>126</v>
      </c>
      <c r="B80" s="1">
        <v>20186</v>
      </c>
      <c r="C80" s="2" t="s">
        <v>206</v>
      </c>
      <c r="D80" s="2" t="s">
        <v>191</v>
      </c>
      <c r="E80" s="162" t="s">
        <v>334</v>
      </c>
      <c r="F80" s="1">
        <v>10</v>
      </c>
      <c r="H80" s="143"/>
      <c r="I80">
        <f t="shared" si="1"/>
        <v>1</v>
      </c>
    </row>
    <row r="81" spans="1:9" ht="12" customHeight="1">
      <c r="A81" s="1">
        <v>811</v>
      </c>
      <c r="B81" s="1">
        <v>15499</v>
      </c>
      <c r="C81" s="2" t="s">
        <v>211</v>
      </c>
      <c r="D81" s="2" t="s">
        <v>94</v>
      </c>
      <c r="E81" s="2" t="s">
        <v>212</v>
      </c>
      <c r="F81" s="1">
        <v>10</v>
      </c>
      <c r="G81"/>
      <c r="H81" s="1">
        <v>1</v>
      </c>
      <c r="I81">
        <f t="shared" si="1"/>
        <v>1</v>
      </c>
    </row>
    <row r="82" spans="1:9" ht="12" customHeight="1">
      <c r="A82" s="1">
        <v>320</v>
      </c>
      <c r="B82" s="155">
        <v>15874</v>
      </c>
      <c r="C82" s="2" t="s">
        <v>229</v>
      </c>
      <c r="D82" s="156" t="s">
        <v>230</v>
      </c>
      <c r="E82" s="38" t="s">
        <v>344</v>
      </c>
      <c r="F82" s="1">
        <v>11</v>
      </c>
      <c r="G82" s="1">
        <v>1</v>
      </c>
      <c r="H82"/>
      <c r="I82">
        <f t="shared" si="1"/>
        <v>1</v>
      </c>
    </row>
    <row r="83" spans="1:9" ht="12" customHeight="1">
      <c r="A83" s="1">
        <v>75</v>
      </c>
      <c r="B83" s="155">
        <v>14912</v>
      </c>
      <c r="C83" s="2" t="s">
        <v>110</v>
      </c>
      <c r="D83" s="156" t="s">
        <v>92</v>
      </c>
      <c r="E83" s="156" t="s">
        <v>111</v>
      </c>
      <c r="F83" s="155">
        <v>4</v>
      </c>
      <c r="G83" s="155"/>
      <c r="H83"/>
      <c r="I83">
        <f t="shared" si="1"/>
        <v>1</v>
      </c>
    </row>
    <row r="84" spans="1:9" ht="12" customHeight="1">
      <c r="A84" s="1">
        <v>221</v>
      </c>
      <c r="B84" s="1">
        <v>20071</v>
      </c>
      <c r="C84" s="2" t="s">
        <v>87</v>
      </c>
      <c r="D84" s="2" t="s">
        <v>76</v>
      </c>
      <c r="E84" s="2" t="s">
        <v>81</v>
      </c>
      <c r="F84" s="1">
        <v>2</v>
      </c>
      <c r="G84"/>
      <c r="H84"/>
      <c r="I84">
        <f t="shared" si="1"/>
        <v>1</v>
      </c>
    </row>
    <row r="85" spans="2:9" ht="12" customHeight="1">
      <c r="B85" s="155">
        <v>15621</v>
      </c>
      <c r="C85" s="2" t="s">
        <v>216</v>
      </c>
      <c r="D85" s="156" t="s">
        <v>217</v>
      </c>
      <c r="E85" s="156" t="s">
        <v>218</v>
      </c>
      <c r="F85" s="1">
        <v>11</v>
      </c>
      <c r="G85"/>
      <c r="H85"/>
      <c r="I85">
        <f t="shared" si="1"/>
      </c>
    </row>
    <row r="86" spans="2:9" ht="12" customHeight="1">
      <c r="B86" s="155"/>
      <c r="C86" s="2" t="s">
        <v>183</v>
      </c>
      <c r="D86" s="156"/>
      <c r="E86" s="156" t="s">
        <v>184</v>
      </c>
      <c r="F86" s="155">
        <v>7</v>
      </c>
      <c r="G86" s="155"/>
      <c r="H86"/>
      <c r="I86">
        <f t="shared" si="1"/>
      </c>
    </row>
    <row r="87" spans="1:9" ht="12" customHeight="1">
      <c r="A87" s="1">
        <v>349</v>
      </c>
      <c r="B87" s="1">
        <v>13782</v>
      </c>
      <c r="C87" s="2" t="s">
        <v>138</v>
      </c>
      <c r="D87" s="2" t="s">
        <v>73</v>
      </c>
      <c r="E87" s="2" t="s">
        <v>139</v>
      </c>
      <c r="F87" s="1">
        <v>5</v>
      </c>
      <c r="G87"/>
      <c r="H87"/>
      <c r="I87">
        <f t="shared" si="1"/>
        <v>1</v>
      </c>
    </row>
    <row r="88" spans="1:9" ht="12" customHeight="1">
      <c r="A88" s="1">
        <v>159</v>
      </c>
      <c r="B88" s="1">
        <v>14498</v>
      </c>
      <c r="C88" s="2" t="s">
        <v>201</v>
      </c>
      <c r="D88" s="2" t="s">
        <v>92</v>
      </c>
      <c r="E88" s="2" t="s">
        <v>122</v>
      </c>
      <c r="F88" s="1">
        <v>11</v>
      </c>
      <c r="G88"/>
      <c r="H88"/>
      <c r="I88">
        <f t="shared" si="1"/>
        <v>1</v>
      </c>
    </row>
    <row r="89" spans="1:9" s="33" customFormat="1" ht="12" customHeight="1">
      <c r="A89" s="1"/>
      <c r="B89" s="1">
        <v>14045</v>
      </c>
      <c r="C89" s="2" t="s">
        <v>157</v>
      </c>
      <c r="D89" s="2" t="s">
        <v>158</v>
      </c>
      <c r="E89" s="2" t="s">
        <v>77</v>
      </c>
      <c r="F89" s="1">
        <v>7</v>
      </c>
      <c r="G89"/>
      <c r="H89"/>
      <c r="I89" s="33">
        <f t="shared" si="1"/>
      </c>
    </row>
    <row r="90" spans="1:9" ht="12" customHeight="1">
      <c r="A90" s="1">
        <v>350</v>
      </c>
      <c r="B90" s="1">
        <v>15377</v>
      </c>
      <c r="C90" s="2" t="s">
        <v>190</v>
      </c>
      <c r="D90" s="2" t="s">
        <v>191</v>
      </c>
      <c r="E90" s="2" t="s">
        <v>186</v>
      </c>
      <c r="F90" s="1">
        <v>9</v>
      </c>
      <c r="G90"/>
      <c r="H90"/>
      <c r="I90">
        <f t="shared" si="1"/>
        <v>1</v>
      </c>
    </row>
    <row r="91" spans="2:9" ht="12" customHeight="1">
      <c r="B91" s="1">
        <v>15700</v>
      </c>
      <c r="C91" s="2" t="s">
        <v>222</v>
      </c>
      <c r="D91" s="2" t="s">
        <v>223</v>
      </c>
      <c r="E91" s="2" t="s">
        <v>224</v>
      </c>
      <c r="F91" s="1">
        <v>10</v>
      </c>
      <c r="G91"/>
      <c r="H91"/>
      <c r="I91">
        <f t="shared" si="1"/>
      </c>
    </row>
    <row r="92" spans="2:9" ht="12" customHeight="1">
      <c r="B92" s="155">
        <v>15565</v>
      </c>
      <c r="C92" s="2" t="s">
        <v>89</v>
      </c>
      <c r="D92" s="156" t="s">
        <v>73</v>
      </c>
      <c r="E92" s="156" t="s">
        <v>90</v>
      </c>
      <c r="F92" s="155">
        <v>2</v>
      </c>
      <c r="G92" s="155">
        <v>1</v>
      </c>
      <c r="H92"/>
      <c r="I92">
        <f t="shared" si="1"/>
      </c>
    </row>
    <row r="93" spans="2:9" ht="12" customHeight="1">
      <c r="B93" s="155">
        <v>9260</v>
      </c>
      <c r="C93" s="2" t="s">
        <v>128</v>
      </c>
      <c r="D93" s="156" t="s">
        <v>117</v>
      </c>
      <c r="E93" s="156" t="s">
        <v>118</v>
      </c>
      <c r="F93" s="155">
        <v>5</v>
      </c>
      <c r="G93" s="155"/>
      <c r="H93"/>
      <c r="I93">
        <f t="shared" si="1"/>
      </c>
    </row>
    <row r="94" spans="1:9" ht="12" customHeight="1">
      <c r="A94" s="1">
        <v>123</v>
      </c>
      <c r="B94" s="1">
        <v>20088</v>
      </c>
      <c r="C94" s="2" t="s">
        <v>148</v>
      </c>
      <c r="D94" s="2" t="s">
        <v>76</v>
      </c>
      <c r="E94" s="162" t="s">
        <v>280</v>
      </c>
      <c r="F94" s="1">
        <v>6</v>
      </c>
      <c r="G94"/>
      <c r="H94" s="1">
        <v>1</v>
      </c>
      <c r="I94">
        <f t="shared" si="1"/>
        <v>1</v>
      </c>
    </row>
    <row r="95" spans="1:9" ht="12" customHeight="1">
      <c r="A95" s="1">
        <v>328</v>
      </c>
      <c r="B95" s="1">
        <v>11921</v>
      </c>
      <c r="C95" s="162" t="s">
        <v>324</v>
      </c>
      <c r="D95" s="2" t="s">
        <v>176</v>
      </c>
      <c r="E95" s="162" t="s">
        <v>323</v>
      </c>
      <c r="F95" s="1">
        <v>10</v>
      </c>
      <c r="G95"/>
      <c r="H95"/>
      <c r="I95">
        <f t="shared" si="1"/>
        <v>1</v>
      </c>
    </row>
    <row r="96" spans="1:9" ht="12" customHeight="1">
      <c r="A96" s="1">
        <v>470</v>
      </c>
      <c r="B96" s="155">
        <v>40043</v>
      </c>
      <c r="C96" s="2" t="s">
        <v>200</v>
      </c>
      <c r="D96" s="156" t="s">
        <v>191</v>
      </c>
      <c r="E96" s="156" t="s">
        <v>74</v>
      </c>
      <c r="F96" s="1">
        <v>9</v>
      </c>
      <c r="G96"/>
      <c r="H96"/>
      <c r="I96">
        <f t="shared" si="1"/>
        <v>1</v>
      </c>
    </row>
    <row r="97" spans="1:9" ht="12" customHeight="1">
      <c r="A97" s="1">
        <v>408</v>
      </c>
      <c r="B97" s="1">
        <v>15432</v>
      </c>
      <c r="C97" s="162" t="s">
        <v>299</v>
      </c>
      <c r="D97" s="2" t="s">
        <v>71</v>
      </c>
      <c r="E97" s="2" t="s">
        <v>72</v>
      </c>
      <c r="F97" s="1">
        <v>8</v>
      </c>
      <c r="H97" s="1">
        <v>1</v>
      </c>
      <c r="I97">
        <f t="shared" si="1"/>
        <v>1</v>
      </c>
    </row>
    <row r="98" spans="2:9" ht="12" customHeight="1">
      <c r="B98" s="155">
        <v>14796</v>
      </c>
      <c r="C98" s="2" t="s">
        <v>193</v>
      </c>
      <c r="D98" s="156" t="s">
        <v>191</v>
      </c>
      <c r="E98" s="156" t="s">
        <v>74</v>
      </c>
      <c r="F98" s="155">
        <v>9</v>
      </c>
      <c r="G98" s="155"/>
      <c r="H98"/>
      <c r="I98">
        <f t="shared" si="1"/>
      </c>
    </row>
    <row r="99" spans="1:9" ht="12" customHeight="1">
      <c r="A99" s="1">
        <v>130</v>
      </c>
      <c r="B99" s="155"/>
      <c r="C99" s="2" t="s">
        <v>173</v>
      </c>
      <c r="D99" s="38" t="s">
        <v>302</v>
      </c>
      <c r="E99" s="156" t="s">
        <v>174</v>
      </c>
      <c r="F99" s="155">
        <v>7</v>
      </c>
      <c r="G99" s="155"/>
      <c r="H99"/>
      <c r="I99">
        <f t="shared" si="1"/>
        <v>1</v>
      </c>
    </row>
    <row r="100" spans="1:9" ht="12" customHeight="1">
      <c r="A100" s="1">
        <v>43</v>
      </c>
      <c r="B100" s="1">
        <v>13065</v>
      </c>
      <c r="C100" s="2" t="s">
        <v>96</v>
      </c>
      <c r="D100" s="2" t="s">
        <v>94</v>
      </c>
      <c r="E100" s="162" t="s">
        <v>254</v>
      </c>
      <c r="F100" s="1">
        <v>3</v>
      </c>
      <c r="G100"/>
      <c r="H100"/>
      <c r="I100">
        <f t="shared" si="1"/>
        <v>1</v>
      </c>
    </row>
    <row r="101" spans="1:9" ht="12" customHeight="1">
      <c r="A101" s="1">
        <v>799</v>
      </c>
      <c r="B101"/>
      <c r="C101" s="2" t="s">
        <v>242</v>
      </c>
      <c r="E101" s="2" t="s">
        <v>241</v>
      </c>
      <c r="F101" s="1">
        <v>14</v>
      </c>
      <c r="G101" s="1">
        <v>1</v>
      </c>
      <c r="H101"/>
      <c r="I101">
        <f t="shared" si="1"/>
        <v>1</v>
      </c>
    </row>
    <row r="102" spans="2:9" ht="12" customHeight="1">
      <c r="B102"/>
      <c r="C102" s="2" t="s">
        <v>240</v>
      </c>
      <c r="D102" s="2" t="s">
        <v>178</v>
      </c>
      <c r="E102" s="2" t="s">
        <v>241</v>
      </c>
      <c r="F102" s="1">
        <v>14</v>
      </c>
      <c r="G102" s="1">
        <v>1</v>
      </c>
      <c r="H102"/>
      <c r="I102">
        <f t="shared" si="1"/>
      </c>
    </row>
    <row r="103" spans="2:9" ht="12" customHeight="1">
      <c r="B103" s="155"/>
      <c r="C103" s="2" t="s">
        <v>185</v>
      </c>
      <c r="D103" s="156"/>
      <c r="E103" s="156" t="s">
        <v>186</v>
      </c>
      <c r="F103" s="155">
        <v>9</v>
      </c>
      <c r="G103" s="155"/>
      <c r="H103"/>
      <c r="I103">
        <f t="shared" si="1"/>
      </c>
    </row>
    <row r="104" spans="2:9" ht="12" customHeight="1">
      <c r="B104" s="155">
        <v>14841</v>
      </c>
      <c r="C104" s="2" t="s">
        <v>163</v>
      </c>
      <c r="D104" s="156" t="s">
        <v>164</v>
      </c>
      <c r="E104" s="156" t="s">
        <v>77</v>
      </c>
      <c r="F104" s="1">
        <v>7</v>
      </c>
      <c r="G104"/>
      <c r="H104"/>
      <c r="I104">
        <f t="shared" si="1"/>
      </c>
    </row>
    <row r="105" spans="1:9" ht="12" customHeight="1">
      <c r="A105" s="1">
        <v>164</v>
      </c>
      <c r="B105" s="1">
        <v>12771</v>
      </c>
      <c r="C105" s="2" t="s">
        <v>80</v>
      </c>
      <c r="D105" s="2" t="s">
        <v>76</v>
      </c>
      <c r="E105" s="2" t="s">
        <v>81</v>
      </c>
      <c r="F105" s="1">
        <v>2</v>
      </c>
      <c r="G105"/>
      <c r="H105" s="1">
        <v>1</v>
      </c>
      <c r="I105">
        <f t="shared" si="1"/>
        <v>1</v>
      </c>
    </row>
    <row r="106" spans="1:9" ht="12" customHeight="1">
      <c r="A106" s="1">
        <v>165</v>
      </c>
      <c r="B106" s="1">
        <v>12772</v>
      </c>
      <c r="C106" s="2" t="s">
        <v>79</v>
      </c>
      <c r="D106" s="2" t="s">
        <v>76</v>
      </c>
      <c r="E106" s="2" t="s">
        <v>77</v>
      </c>
      <c r="F106" s="1">
        <v>1</v>
      </c>
      <c r="G106"/>
      <c r="H106"/>
      <c r="I106">
        <f t="shared" si="1"/>
        <v>1</v>
      </c>
    </row>
    <row r="107" spans="2:9" ht="12" customHeight="1">
      <c r="B107"/>
      <c r="C107" s="2" t="s">
        <v>140</v>
      </c>
      <c r="D107" s="2" t="s">
        <v>94</v>
      </c>
      <c r="E107" s="2" t="s">
        <v>141</v>
      </c>
      <c r="F107" s="1">
        <v>5</v>
      </c>
      <c r="G107"/>
      <c r="H107"/>
      <c r="I107">
        <f t="shared" si="1"/>
      </c>
    </row>
    <row r="108" spans="1:9" ht="12" customHeight="1">
      <c r="A108" s="1">
        <v>237</v>
      </c>
      <c r="B108" s="155">
        <v>14513</v>
      </c>
      <c r="C108" s="2" t="s">
        <v>196</v>
      </c>
      <c r="D108" s="156" t="s">
        <v>191</v>
      </c>
      <c r="E108" s="156" t="s">
        <v>186</v>
      </c>
      <c r="F108" s="155">
        <v>9</v>
      </c>
      <c r="G108" s="155"/>
      <c r="H108"/>
      <c r="I108">
        <f t="shared" si="1"/>
        <v>1</v>
      </c>
    </row>
    <row r="109" spans="1:9" ht="12" customHeight="1">
      <c r="A109" s="1">
        <v>414</v>
      </c>
      <c r="B109" s="159">
        <v>15894</v>
      </c>
      <c r="C109" s="160" t="s">
        <v>248</v>
      </c>
      <c r="D109" s="161" t="s">
        <v>92</v>
      </c>
      <c r="E109" s="161" t="s">
        <v>74</v>
      </c>
      <c r="F109" s="159">
        <v>1</v>
      </c>
      <c r="G109">
        <v>1</v>
      </c>
      <c r="H109">
        <v>1</v>
      </c>
      <c r="I109">
        <f t="shared" si="1"/>
        <v>1</v>
      </c>
    </row>
    <row r="110" spans="1:9" ht="12" customHeight="1">
      <c r="A110" s="1">
        <v>339</v>
      </c>
      <c r="C110" s="162" t="s">
        <v>250</v>
      </c>
      <c r="E110" s="162" t="s">
        <v>74</v>
      </c>
      <c r="F110" s="1">
        <v>2</v>
      </c>
      <c r="G110" s="1">
        <v>1</v>
      </c>
      <c r="I110">
        <f t="shared" si="1"/>
        <v>1</v>
      </c>
    </row>
    <row r="111" spans="1:9" ht="12" customHeight="1">
      <c r="A111" s="1">
        <v>33</v>
      </c>
      <c r="B111" s="1">
        <v>15370</v>
      </c>
      <c r="C111" s="162" t="s">
        <v>251</v>
      </c>
      <c r="D111" s="162" t="s">
        <v>94</v>
      </c>
      <c r="E111" s="162" t="s">
        <v>74</v>
      </c>
      <c r="F111" s="1">
        <v>2</v>
      </c>
      <c r="G111" s="1">
        <v>1</v>
      </c>
      <c r="I111">
        <f t="shared" si="1"/>
        <v>1</v>
      </c>
    </row>
    <row r="112" spans="1:9" ht="12" customHeight="1">
      <c r="A112" s="1">
        <v>11</v>
      </c>
      <c r="B112" s="1">
        <v>11136</v>
      </c>
      <c r="C112" s="162" t="s">
        <v>255</v>
      </c>
      <c r="D112" s="162" t="s">
        <v>76</v>
      </c>
      <c r="E112" s="162" t="s">
        <v>254</v>
      </c>
      <c r="F112" s="1">
        <v>3</v>
      </c>
      <c r="I112">
        <f t="shared" si="1"/>
        <v>1</v>
      </c>
    </row>
    <row r="113" spans="1:9" ht="12" customHeight="1">
      <c r="A113" s="1">
        <v>90</v>
      </c>
      <c r="B113" s="1">
        <v>13892</v>
      </c>
      <c r="C113" s="162" t="s">
        <v>259</v>
      </c>
      <c r="D113" s="162" t="s">
        <v>260</v>
      </c>
      <c r="E113" s="162" t="s">
        <v>136</v>
      </c>
      <c r="F113" s="1">
        <v>4</v>
      </c>
      <c r="I113">
        <f t="shared" si="1"/>
        <v>1</v>
      </c>
    </row>
    <row r="114" spans="1:9" ht="12" customHeight="1">
      <c r="A114" s="1">
        <v>489</v>
      </c>
      <c r="B114" s="1">
        <v>15893</v>
      </c>
      <c r="C114" s="162" t="s">
        <v>261</v>
      </c>
      <c r="D114" s="162" t="s">
        <v>135</v>
      </c>
      <c r="E114" s="162" t="s">
        <v>262</v>
      </c>
      <c r="F114" s="1">
        <v>4</v>
      </c>
      <c r="I114">
        <f t="shared" si="1"/>
        <v>1</v>
      </c>
    </row>
    <row r="115" spans="1:9" ht="12" customHeight="1">
      <c r="A115" s="1">
        <v>169</v>
      </c>
      <c r="B115" s="1">
        <v>13583</v>
      </c>
      <c r="C115" s="162" t="s">
        <v>263</v>
      </c>
      <c r="D115" s="162" t="s">
        <v>73</v>
      </c>
      <c r="E115" s="162" t="s">
        <v>264</v>
      </c>
      <c r="F115" s="1">
        <v>4</v>
      </c>
      <c r="G115" s="1">
        <v>1</v>
      </c>
      <c r="I115">
        <f t="shared" si="1"/>
        <v>1</v>
      </c>
    </row>
    <row r="116" spans="1:9" ht="12" customHeight="1">
      <c r="A116" s="1">
        <v>343</v>
      </c>
      <c r="C116" s="162" t="s">
        <v>265</v>
      </c>
      <c r="D116" s="162" t="s">
        <v>266</v>
      </c>
      <c r="E116" s="162" t="s">
        <v>268</v>
      </c>
      <c r="F116" s="1">
        <v>5</v>
      </c>
      <c r="I116">
        <f t="shared" si="1"/>
        <v>1</v>
      </c>
    </row>
    <row r="117" spans="1:9" ht="12" customHeight="1">
      <c r="A117" s="1">
        <v>344</v>
      </c>
      <c r="C117" s="162" t="s">
        <v>267</v>
      </c>
      <c r="E117" s="162" t="s">
        <v>268</v>
      </c>
      <c r="F117" s="1">
        <v>5</v>
      </c>
      <c r="I117">
        <f t="shared" si="1"/>
        <v>1</v>
      </c>
    </row>
    <row r="118" spans="1:9" ht="12" customHeight="1">
      <c r="A118" s="1">
        <v>498</v>
      </c>
      <c r="C118" s="162" t="s">
        <v>269</v>
      </c>
      <c r="E118" s="162" t="s">
        <v>270</v>
      </c>
      <c r="F118" s="1">
        <v>5</v>
      </c>
      <c r="G118" s="1">
        <v>1</v>
      </c>
      <c r="I118">
        <f t="shared" si="1"/>
        <v>1</v>
      </c>
    </row>
    <row r="119" spans="1:9" ht="12" customHeight="1">
      <c r="A119" s="1">
        <v>1600</v>
      </c>
      <c r="B119" s="1">
        <v>14749</v>
      </c>
      <c r="C119" s="162" t="s">
        <v>271</v>
      </c>
      <c r="D119" s="162" t="s">
        <v>272</v>
      </c>
      <c r="E119" s="162" t="s">
        <v>273</v>
      </c>
      <c r="F119" s="1">
        <v>5</v>
      </c>
      <c r="I119">
        <f t="shared" si="1"/>
        <v>1</v>
      </c>
    </row>
    <row r="120" spans="1:9" ht="12" customHeight="1">
      <c r="A120" s="1">
        <v>883</v>
      </c>
      <c r="B120" s="1">
        <v>15181</v>
      </c>
      <c r="C120" s="162" t="s">
        <v>277</v>
      </c>
      <c r="D120" s="162" t="s">
        <v>272</v>
      </c>
      <c r="E120" s="162" t="s">
        <v>278</v>
      </c>
      <c r="F120" s="1">
        <v>5</v>
      </c>
      <c r="H120" s="1">
        <v>1</v>
      </c>
      <c r="I120">
        <f t="shared" si="1"/>
        <v>1</v>
      </c>
    </row>
    <row r="121" spans="1:9" ht="12" customHeight="1">
      <c r="A121" s="1">
        <v>160</v>
      </c>
      <c r="B121" s="1">
        <v>15312</v>
      </c>
      <c r="C121" s="162" t="s">
        <v>279</v>
      </c>
      <c r="D121" s="162" t="s">
        <v>272</v>
      </c>
      <c r="E121" s="162" t="s">
        <v>273</v>
      </c>
      <c r="F121" s="1">
        <v>5</v>
      </c>
      <c r="I121">
        <f t="shared" si="1"/>
        <v>1</v>
      </c>
    </row>
    <row r="122" spans="1:9" ht="12" customHeight="1">
      <c r="A122" s="1">
        <v>765</v>
      </c>
      <c r="C122" s="162" t="s">
        <v>281</v>
      </c>
      <c r="D122" s="162" t="s">
        <v>76</v>
      </c>
      <c r="E122" s="162" t="s">
        <v>282</v>
      </c>
      <c r="F122" s="1">
        <v>6</v>
      </c>
      <c r="I122">
        <f t="shared" si="1"/>
        <v>1</v>
      </c>
    </row>
    <row r="123" spans="1:9" ht="12" customHeight="1">
      <c r="A123" s="1">
        <v>888</v>
      </c>
      <c r="B123" s="1">
        <v>15182</v>
      </c>
      <c r="C123" s="162" t="s">
        <v>284</v>
      </c>
      <c r="D123" s="162" t="s">
        <v>272</v>
      </c>
      <c r="E123" s="162" t="s">
        <v>278</v>
      </c>
      <c r="F123" s="1">
        <v>5</v>
      </c>
      <c r="I123">
        <f t="shared" si="1"/>
        <v>1</v>
      </c>
    </row>
    <row r="124" spans="1:9" ht="12" customHeight="1">
      <c r="A124" s="1">
        <v>84</v>
      </c>
      <c r="B124" s="1">
        <v>14551</v>
      </c>
      <c r="C124" s="162" t="s">
        <v>285</v>
      </c>
      <c r="D124" s="162" t="s">
        <v>286</v>
      </c>
      <c r="E124" s="162" t="s">
        <v>287</v>
      </c>
      <c r="F124" s="1">
        <v>5</v>
      </c>
      <c r="I124">
        <f t="shared" si="1"/>
        <v>1</v>
      </c>
    </row>
    <row r="125" spans="1:9" ht="12" customHeight="1">
      <c r="A125" s="1">
        <v>44</v>
      </c>
      <c r="C125" s="162" t="s">
        <v>289</v>
      </c>
      <c r="D125" s="162" t="s">
        <v>94</v>
      </c>
      <c r="E125" s="162" t="s">
        <v>290</v>
      </c>
      <c r="F125" s="1">
        <v>6</v>
      </c>
      <c r="I125">
        <f t="shared" si="1"/>
        <v>1</v>
      </c>
    </row>
    <row r="126" spans="1:9" ht="12" customHeight="1">
      <c r="A126" s="1">
        <v>586</v>
      </c>
      <c r="C126" s="162" t="s">
        <v>291</v>
      </c>
      <c r="E126" s="162" t="s">
        <v>292</v>
      </c>
      <c r="F126" s="1">
        <v>6</v>
      </c>
      <c r="I126">
        <f t="shared" si="1"/>
        <v>1</v>
      </c>
    </row>
    <row r="127" spans="1:9" ht="12" customHeight="1">
      <c r="A127" s="1">
        <v>232</v>
      </c>
      <c r="B127" s="1">
        <v>15510</v>
      </c>
      <c r="C127" s="162" t="s">
        <v>293</v>
      </c>
      <c r="D127" s="162" t="s">
        <v>144</v>
      </c>
      <c r="E127" s="162" t="s">
        <v>145</v>
      </c>
      <c r="F127" s="1">
        <v>6</v>
      </c>
      <c r="I127">
        <f t="shared" si="1"/>
        <v>1</v>
      </c>
    </row>
    <row r="128" spans="1:9" ht="12" customHeight="1">
      <c r="A128" s="1">
        <v>766</v>
      </c>
      <c r="C128" s="162" t="s">
        <v>294</v>
      </c>
      <c r="D128" s="162" t="s">
        <v>76</v>
      </c>
      <c r="E128" s="162" t="s">
        <v>282</v>
      </c>
      <c r="F128" s="1">
        <v>6</v>
      </c>
      <c r="I128">
        <f t="shared" si="1"/>
        <v>1</v>
      </c>
    </row>
    <row r="129" spans="1:9" ht="12" customHeight="1">
      <c r="A129" s="1">
        <v>451</v>
      </c>
      <c r="B129" s="1">
        <v>13840</v>
      </c>
      <c r="C129" s="162" t="s">
        <v>295</v>
      </c>
      <c r="D129" s="162" t="s">
        <v>73</v>
      </c>
      <c r="E129" s="162" t="s">
        <v>296</v>
      </c>
      <c r="F129" s="1">
        <v>6</v>
      </c>
      <c r="I129">
        <f t="shared" si="1"/>
        <v>1</v>
      </c>
    </row>
    <row r="130" spans="1:9" ht="12" customHeight="1">
      <c r="A130" s="1">
        <v>568</v>
      </c>
      <c r="B130" s="1">
        <v>15745</v>
      </c>
      <c r="C130" s="162" t="s">
        <v>297</v>
      </c>
      <c r="D130" s="162" t="s">
        <v>266</v>
      </c>
      <c r="E130" s="162" t="s">
        <v>298</v>
      </c>
      <c r="F130" s="1">
        <v>6</v>
      </c>
      <c r="I130">
        <f t="shared" si="1"/>
        <v>1</v>
      </c>
    </row>
    <row r="131" spans="1:9" ht="12" customHeight="1">
      <c r="A131" s="1">
        <v>64</v>
      </c>
      <c r="B131" s="1">
        <v>15548</v>
      </c>
      <c r="C131" s="162" t="s">
        <v>303</v>
      </c>
      <c r="D131" s="162" t="s">
        <v>117</v>
      </c>
      <c r="E131" s="162" t="s">
        <v>174</v>
      </c>
      <c r="F131" s="1">
        <v>7</v>
      </c>
      <c r="I131">
        <f t="shared" si="1"/>
        <v>1</v>
      </c>
    </row>
    <row r="132" spans="1:9" ht="12" customHeight="1">
      <c r="A132" s="1">
        <v>518</v>
      </c>
      <c r="C132" s="162" t="s">
        <v>305</v>
      </c>
      <c r="D132" s="162" t="s">
        <v>304</v>
      </c>
      <c r="E132" s="162" t="s">
        <v>306</v>
      </c>
      <c r="F132" s="1">
        <v>9</v>
      </c>
      <c r="I132">
        <f aca="true" t="shared" si="2" ref="I132:I150">IF(ISBLANK(A132),"",1)</f>
        <v>1</v>
      </c>
    </row>
    <row r="133" spans="1:9" ht="12" customHeight="1">
      <c r="A133" s="1">
        <v>236</v>
      </c>
      <c r="C133" s="162" t="s">
        <v>307</v>
      </c>
      <c r="E133" s="162" t="s">
        <v>74</v>
      </c>
      <c r="F133" s="1">
        <v>9</v>
      </c>
      <c r="I133">
        <f t="shared" si="2"/>
        <v>1</v>
      </c>
    </row>
    <row r="134" spans="1:9" ht="12" customHeight="1">
      <c r="A134" s="1">
        <v>111</v>
      </c>
      <c r="C134" s="162" t="s">
        <v>309</v>
      </c>
      <c r="D134" s="162" t="s">
        <v>195</v>
      </c>
      <c r="E134" s="162" t="s">
        <v>95</v>
      </c>
      <c r="F134" s="1">
        <v>9</v>
      </c>
      <c r="I134">
        <f t="shared" si="2"/>
        <v>1</v>
      </c>
    </row>
    <row r="135" spans="1:9" ht="12" customHeight="1">
      <c r="A135" s="1">
        <v>144</v>
      </c>
      <c r="C135" s="162" t="s">
        <v>310</v>
      </c>
      <c r="E135" s="162" t="s">
        <v>311</v>
      </c>
      <c r="F135" s="1">
        <v>12</v>
      </c>
      <c r="I135">
        <f t="shared" si="2"/>
        <v>1</v>
      </c>
    </row>
    <row r="136" spans="1:9" ht="12" customHeight="1">
      <c r="A136" s="1">
        <v>91</v>
      </c>
      <c r="B136" s="1">
        <v>15758</v>
      </c>
      <c r="C136" s="162" t="s">
        <v>312</v>
      </c>
      <c r="D136" s="162" t="s">
        <v>313</v>
      </c>
      <c r="E136" s="162" t="s">
        <v>122</v>
      </c>
      <c r="F136" s="1">
        <v>14</v>
      </c>
      <c r="I136">
        <f t="shared" si="2"/>
        <v>1</v>
      </c>
    </row>
    <row r="137" spans="1:9" ht="12" customHeight="1">
      <c r="A137" s="1">
        <v>700</v>
      </c>
      <c r="B137" s="1">
        <v>14271</v>
      </c>
      <c r="C137" s="162" t="s">
        <v>315</v>
      </c>
      <c r="D137" s="162" t="s">
        <v>220</v>
      </c>
      <c r="E137" s="162" t="s">
        <v>316</v>
      </c>
      <c r="F137" s="1">
        <v>14</v>
      </c>
      <c r="I137">
        <f t="shared" si="2"/>
        <v>1</v>
      </c>
    </row>
    <row r="138" spans="1:9" ht="12" customHeight="1">
      <c r="A138" s="1">
        <v>177</v>
      </c>
      <c r="C138" s="162" t="s">
        <v>317</v>
      </c>
      <c r="E138" s="162" t="s">
        <v>318</v>
      </c>
      <c r="F138" s="1">
        <v>15</v>
      </c>
      <c r="I138">
        <f t="shared" si="2"/>
        <v>1</v>
      </c>
    </row>
    <row r="139" spans="1:9" ht="12" customHeight="1">
      <c r="A139" s="1">
        <v>156</v>
      </c>
      <c r="C139" s="162" t="s">
        <v>320</v>
      </c>
      <c r="D139" s="162" t="s">
        <v>83</v>
      </c>
      <c r="E139" s="162" t="s">
        <v>122</v>
      </c>
      <c r="F139" s="1">
        <v>11</v>
      </c>
      <c r="I139">
        <f t="shared" si="2"/>
        <v>1</v>
      </c>
    </row>
    <row r="140" spans="1:9" ht="12" customHeight="1">
      <c r="A140" s="1">
        <v>32</v>
      </c>
      <c r="C140" s="162" t="s">
        <v>321</v>
      </c>
      <c r="D140" s="162" t="s">
        <v>266</v>
      </c>
      <c r="E140" s="162" t="s">
        <v>322</v>
      </c>
      <c r="F140" s="1">
        <v>10</v>
      </c>
      <c r="I140">
        <f t="shared" si="2"/>
        <v>1</v>
      </c>
    </row>
    <row r="141" spans="1:9" ht="12" customHeight="1">
      <c r="A141" s="1">
        <v>333</v>
      </c>
      <c r="C141" s="162" t="s">
        <v>348</v>
      </c>
      <c r="D141" s="162" t="s">
        <v>326</v>
      </c>
      <c r="E141" s="162" t="s">
        <v>327</v>
      </c>
      <c r="F141" s="1">
        <v>10</v>
      </c>
      <c r="I141">
        <f t="shared" si="2"/>
        <v>1</v>
      </c>
    </row>
    <row r="142" spans="1:9" ht="12" customHeight="1">
      <c r="A142" s="1">
        <v>394</v>
      </c>
      <c r="B142" s="1">
        <v>15922</v>
      </c>
      <c r="C142" s="162" t="s">
        <v>328</v>
      </c>
      <c r="D142" s="162" t="s">
        <v>329</v>
      </c>
      <c r="E142" s="162" t="s">
        <v>330</v>
      </c>
      <c r="F142" s="1">
        <v>10</v>
      </c>
      <c r="I142">
        <f t="shared" si="2"/>
        <v>1</v>
      </c>
    </row>
    <row r="143" spans="1:9" ht="12" customHeight="1">
      <c r="A143" s="1">
        <v>555</v>
      </c>
      <c r="B143" s="1">
        <v>13446</v>
      </c>
      <c r="C143" s="162" t="s">
        <v>331</v>
      </c>
      <c r="D143" s="162" t="s">
        <v>332</v>
      </c>
      <c r="E143" s="162" t="s">
        <v>333</v>
      </c>
      <c r="F143" s="1">
        <v>10</v>
      </c>
      <c r="I143">
        <f t="shared" si="2"/>
        <v>1</v>
      </c>
    </row>
    <row r="144" spans="1:9" ht="12" customHeight="1">
      <c r="A144" s="1">
        <v>520</v>
      </c>
      <c r="B144" s="1">
        <v>15211</v>
      </c>
      <c r="C144" s="162" t="s">
        <v>335</v>
      </c>
      <c r="E144" s="162" t="s">
        <v>336</v>
      </c>
      <c r="F144" s="1">
        <v>11</v>
      </c>
      <c r="I144">
        <f t="shared" si="2"/>
        <v>1</v>
      </c>
    </row>
    <row r="145" spans="1:9" ht="12" customHeight="1">
      <c r="A145" s="1">
        <v>576</v>
      </c>
      <c r="C145" s="162" t="s">
        <v>337</v>
      </c>
      <c r="D145" s="162" t="s">
        <v>338</v>
      </c>
      <c r="E145" s="162" t="s">
        <v>283</v>
      </c>
      <c r="F145" s="1">
        <v>11</v>
      </c>
      <c r="I145">
        <f t="shared" si="2"/>
        <v>1</v>
      </c>
    </row>
    <row r="146" spans="1:9" ht="12" customHeight="1">
      <c r="A146" s="1">
        <v>280</v>
      </c>
      <c r="B146" s="1">
        <v>14847</v>
      </c>
      <c r="C146" s="162" t="s">
        <v>349</v>
      </c>
      <c r="D146" s="162" t="s">
        <v>340</v>
      </c>
      <c r="E146" s="162" t="s">
        <v>109</v>
      </c>
      <c r="F146" s="1">
        <v>11</v>
      </c>
      <c r="I146">
        <f t="shared" si="2"/>
        <v>1</v>
      </c>
    </row>
    <row r="147" spans="1:9" ht="12" customHeight="1">
      <c r="A147" s="1">
        <v>365</v>
      </c>
      <c r="C147" s="162" t="s">
        <v>341</v>
      </c>
      <c r="D147" s="162" t="s">
        <v>304</v>
      </c>
      <c r="E147" s="162" t="s">
        <v>342</v>
      </c>
      <c r="F147" s="1">
        <v>11</v>
      </c>
      <c r="I147">
        <f t="shared" si="2"/>
        <v>1</v>
      </c>
    </row>
    <row r="148" spans="1:9" ht="12" customHeight="1">
      <c r="A148" s="1">
        <v>157</v>
      </c>
      <c r="B148" s="1">
        <v>12917</v>
      </c>
      <c r="C148" s="162" t="s">
        <v>343</v>
      </c>
      <c r="D148" s="162" t="s">
        <v>83</v>
      </c>
      <c r="E148" s="162" t="s">
        <v>122</v>
      </c>
      <c r="F148" s="1">
        <v>11</v>
      </c>
      <c r="I148">
        <f t="shared" si="2"/>
        <v>1</v>
      </c>
    </row>
    <row r="149" spans="1:9" ht="12" customHeight="1">
      <c r="A149" s="1">
        <v>407</v>
      </c>
      <c r="C149" s="162" t="s">
        <v>345</v>
      </c>
      <c r="D149" s="162" t="s">
        <v>71</v>
      </c>
      <c r="E149" s="162" t="s">
        <v>346</v>
      </c>
      <c r="F149" s="1">
        <v>11</v>
      </c>
      <c r="I149">
        <f t="shared" si="2"/>
        <v>1</v>
      </c>
    </row>
    <row r="150" ht="12" customHeight="1">
      <c r="I150">
        <f t="shared" si="2"/>
      </c>
    </row>
    <row r="151" ht="12" customHeight="1">
      <c r="I151">
        <f aca="true" t="shared" si="3" ref="I151:I200">IF(ISBLANK(A151),"",1)</f>
      </c>
    </row>
    <row r="152" ht="12" customHeight="1">
      <c r="I152">
        <f t="shared" si="3"/>
      </c>
    </row>
    <row r="153" ht="12" customHeight="1">
      <c r="I153">
        <f t="shared" si="3"/>
      </c>
    </row>
    <row r="154" ht="12" customHeight="1">
      <c r="I154">
        <f t="shared" si="3"/>
      </c>
    </row>
    <row r="155" ht="12" customHeight="1">
      <c r="I155">
        <f t="shared" si="3"/>
      </c>
    </row>
    <row r="156" ht="12" customHeight="1">
      <c r="I156">
        <f t="shared" si="3"/>
      </c>
    </row>
    <row r="157" ht="12" customHeight="1">
      <c r="I157">
        <f t="shared" si="3"/>
      </c>
    </row>
    <row r="158" ht="12" customHeight="1">
      <c r="I158">
        <f t="shared" si="3"/>
      </c>
    </row>
    <row r="159" ht="12" customHeight="1">
      <c r="I159">
        <f t="shared" si="3"/>
      </c>
    </row>
    <row r="160" ht="12" customHeight="1">
      <c r="I160">
        <f t="shared" si="3"/>
      </c>
    </row>
    <row r="161" ht="12" customHeight="1">
      <c r="I161">
        <f t="shared" si="3"/>
      </c>
    </row>
    <row r="162" ht="12" customHeight="1">
      <c r="I162">
        <f t="shared" si="3"/>
      </c>
    </row>
    <row r="163" ht="12" customHeight="1">
      <c r="I163">
        <f t="shared" si="3"/>
      </c>
    </row>
    <row r="164" ht="12" customHeight="1">
      <c r="I164">
        <f t="shared" si="3"/>
      </c>
    </row>
    <row r="165" ht="12" customHeight="1">
      <c r="I165">
        <f t="shared" si="3"/>
      </c>
    </row>
    <row r="166" ht="12" customHeight="1">
      <c r="I166">
        <f t="shared" si="3"/>
      </c>
    </row>
    <row r="167" ht="12" customHeight="1">
      <c r="I167">
        <f t="shared" si="3"/>
      </c>
    </row>
    <row r="168" ht="12" customHeight="1">
      <c r="I168">
        <f t="shared" si="3"/>
      </c>
    </row>
    <row r="169" ht="12" customHeight="1">
      <c r="I169">
        <f t="shared" si="3"/>
      </c>
    </row>
    <row r="170" ht="12" customHeight="1">
      <c r="I170">
        <f t="shared" si="3"/>
      </c>
    </row>
    <row r="171" ht="12" customHeight="1">
      <c r="I171">
        <f t="shared" si="3"/>
      </c>
    </row>
    <row r="172" ht="12" customHeight="1">
      <c r="I172">
        <f t="shared" si="3"/>
      </c>
    </row>
    <row r="173" ht="12" customHeight="1">
      <c r="I173">
        <f t="shared" si="3"/>
      </c>
    </row>
    <row r="174" ht="12" customHeight="1">
      <c r="I174">
        <f t="shared" si="3"/>
      </c>
    </row>
    <row r="175" ht="12" customHeight="1">
      <c r="I175">
        <f t="shared" si="3"/>
      </c>
    </row>
    <row r="176" ht="12" customHeight="1">
      <c r="I176">
        <f t="shared" si="3"/>
      </c>
    </row>
    <row r="177" ht="12" customHeight="1">
      <c r="I177">
        <f t="shared" si="3"/>
      </c>
    </row>
    <row r="178" ht="12" customHeight="1">
      <c r="I178">
        <f t="shared" si="3"/>
      </c>
    </row>
    <row r="179" ht="12" customHeight="1">
      <c r="I179">
        <f t="shared" si="3"/>
      </c>
    </row>
    <row r="180" ht="12" customHeight="1">
      <c r="I180">
        <f t="shared" si="3"/>
      </c>
    </row>
    <row r="181" ht="12" customHeight="1">
      <c r="I181">
        <f t="shared" si="3"/>
      </c>
    </row>
    <row r="182" ht="12" customHeight="1">
      <c r="I182">
        <f t="shared" si="3"/>
      </c>
    </row>
    <row r="183" ht="12" customHeight="1">
      <c r="I183">
        <f t="shared" si="3"/>
      </c>
    </row>
    <row r="184" ht="12" customHeight="1">
      <c r="I184">
        <f t="shared" si="3"/>
      </c>
    </row>
    <row r="185" ht="12" customHeight="1">
      <c r="I185">
        <f t="shared" si="3"/>
      </c>
    </row>
    <row r="186" ht="12" customHeight="1">
      <c r="I186">
        <f t="shared" si="3"/>
      </c>
    </row>
    <row r="187" ht="12" customHeight="1">
      <c r="I187">
        <f t="shared" si="3"/>
      </c>
    </row>
    <row r="188" ht="12" customHeight="1">
      <c r="I188">
        <f t="shared" si="3"/>
      </c>
    </row>
    <row r="189" ht="12" customHeight="1">
      <c r="I189">
        <f t="shared" si="3"/>
      </c>
    </row>
    <row r="190" ht="12" customHeight="1">
      <c r="I190">
        <f t="shared" si="3"/>
      </c>
    </row>
    <row r="191" ht="12" customHeight="1">
      <c r="I191">
        <f t="shared" si="3"/>
      </c>
    </row>
    <row r="192" ht="12" customHeight="1">
      <c r="I192">
        <f t="shared" si="3"/>
      </c>
    </row>
    <row r="193" ht="12" customHeight="1">
      <c r="I193">
        <f t="shared" si="3"/>
      </c>
    </row>
    <row r="194" ht="12" customHeight="1">
      <c r="I194">
        <f t="shared" si="3"/>
      </c>
    </row>
    <row r="195" ht="12" customHeight="1">
      <c r="I195">
        <f t="shared" si="3"/>
      </c>
    </row>
    <row r="196" ht="12" customHeight="1">
      <c r="I196">
        <f t="shared" si="3"/>
      </c>
    </row>
    <row r="197" ht="12" customHeight="1">
      <c r="I197">
        <f t="shared" si="3"/>
      </c>
    </row>
    <row r="198" ht="12" customHeight="1">
      <c r="I198">
        <f t="shared" si="3"/>
      </c>
    </row>
    <row r="199" ht="12" customHeight="1">
      <c r="I199">
        <f t="shared" si="3"/>
      </c>
    </row>
    <row r="200" ht="12" customHeight="1">
      <c r="I200">
        <f t="shared" si="3"/>
      </c>
    </row>
    <row r="201" ht="12" customHeight="1">
      <c r="I201">
        <f>IF(ISBLANK(A201),"",1)</f>
      </c>
    </row>
    <row r="202" ht="12" customHeight="1">
      <c r="I202">
        <f>IF(ISBLANK(A202),"",1)</f>
      </c>
    </row>
    <row r="203" ht="12" customHeight="1">
      <c r="I203">
        <f>IF(ISBLANK(A203),"",1)</f>
      </c>
    </row>
  </sheetData>
  <sheetProtection/>
  <conditionalFormatting sqref="C3:C149">
    <cfRule type="expression" priority="1" dxfId="3" stopIfTrue="1">
      <formula>G3+H3=2</formula>
    </cfRule>
    <cfRule type="expression" priority="2" dxfId="1" stopIfTrue="1">
      <formula>H3=1</formula>
    </cfRule>
    <cfRule type="expression" priority="3" dxfId="9" stopIfTrue="1">
      <formula>G3=1</formula>
    </cfRule>
  </conditionalFormatting>
  <conditionalFormatting sqref="D3:F3 E4">
    <cfRule type="cellIs" priority="4" dxfId="2" operator="equal" stopIfTrue="1">
      <formula>"1"</formula>
    </cfRule>
  </conditionalFormatting>
  <conditionalFormatting sqref="C150:C203">
    <cfRule type="expression" priority="5" dxfId="3" stopIfTrue="1">
      <formula>G150+H150=2</formula>
    </cfRule>
    <cfRule type="expression" priority="6" dxfId="1" stopIfTrue="1">
      <formula>H150=1</formula>
    </cfRule>
    <cfRule type="expression" priority="7" dxfId="9" stopIfTrue="1">
      <formula>G150=1</formula>
    </cfRule>
  </conditionalFormatting>
  <conditionalFormatting sqref="A3:A203">
    <cfRule type="expression" priority="8" dxfId="5" stopIfTrue="1">
      <formula>COUNTIF($A$3:$A$203,A3)&gt;1</formula>
    </cfRule>
  </conditionalFormatting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1"/>
  <dimension ref="A1:K10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6.28125" style="47" customWidth="1"/>
    <col min="2" max="2" width="6.421875" style="59" customWidth="1"/>
    <col min="3" max="3" width="9.7109375" style="0" customWidth="1"/>
    <col min="4" max="4" width="19.421875" style="0" customWidth="1"/>
    <col min="5" max="5" width="18.421875" style="0" customWidth="1"/>
    <col min="6" max="6" width="14.28125" style="0" customWidth="1"/>
    <col min="7" max="8" width="12.7109375" style="0" hidden="1" customWidth="1"/>
    <col min="9" max="9" width="10.7109375" style="103" customWidth="1"/>
    <col min="10" max="10" width="10.7109375" style="110" hidden="1" customWidth="1"/>
    <col min="11" max="11" width="10.7109375" style="152" hidden="1" customWidth="1"/>
    <col min="12" max="12" width="10.7109375" style="0" customWidth="1"/>
    <col min="13" max="13" width="15.421875" style="0" customWidth="1"/>
  </cols>
  <sheetData>
    <row r="1" spans="1:8" ht="15">
      <c r="A1" s="43"/>
      <c r="B1" s="58"/>
      <c r="C1" s="1"/>
      <c r="D1" s="2"/>
      <c r="E1" s="2"/>
      <c r="F1" s="2"/>
      <c r="G1" s="2"/>
      <c r="H1" s="2"/>
    </row>
    <row r="2" spans="1:9" ht="23.25">
      <c r="A2" s="49" t="s">
        <v>60</v>
      </c>
      <c r="B2" s="60"/>
      <c r="C2" s="50">
        <f>SUM(K5:K102)</f>
        <v>5</v>
      </c>
      <c r="D2" s="101" t="s">
        <v>0</v>
      </c>
      <c r="E2" s="102" t="str">
        <f>IF(ISBLANK(D2),"",VLOOKUP(D2,'Veranst.'!A:C,3,FALSE))</f>
        <v>49. Automobilslalom, MSC Jura 9.7.2016</v>
      </c>
      <c r="F2" s="99"/>
      <c r="G2" s="99"/>
      <c r="H2" s="99"/>
      <c r="I2" s="104"/>
    </row>
    <row r="3" spans="1:8" ht="15.75" thickBot="1">
      <c r="A3" s="43"/>
      <c r="B3" s="58"/>
      <c r="C3" s="1"/>
      <c r="D3" s="2"/>
      <c r="E3" s="2"/>
      <c r="F3" s="2"/>
      <c r="G3" s="2"/>
      <c r="H3" s="2"/>
    </row>
    <row r="4" spans="1:11" s="34" customFormat="1" ht="15" thickBot="1">
      <c r="A4" s="100" t="s">
        <v>1</v>
      </c>
      <c r="B4" s="61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55" t="s">
        <v>62</v>
      </c>
      <c r="H4" s="55" t="s">
        <v>66</v>
      </c>
      <c r="I4" s="108" t="s">
        <v>33</v>
      </c>
      <c r="J4" s="109" t="s">
        <v>61</v>
      </c>
      <c r="K4" s="153"/>
    </row>
    <row r="5" spans="1:11" s="33" customFormat="1" ht="15" customHeight="1">
      <c r="A5" s="112">
        <f>IF(ISBLANK(B5),"",1)</f>
        <v>1</v>
      </c>
      <c r="B5" s="56">
        <v>91</v>
      </c>
      <c r="C5" s="36">
        <f aca="true" t="shared" si="0" ref="C5:C36">IF(ISBLANK(B5),"",VLOOKUP(B5,Starter_Feld,2,FALSE))</f>
        <v>15758</v>
      </c>
      <c r="D5" s="37" t="str">
        <f aca="true" t="shared" si="1" ref="D5:D36">IF(ISBLANK(B5),"",VLOOKUP(B5,Starter_Feld,3,FALSE))</f>
        <v>Minuth, Nino</v>
      </c>
      <c r="E5" s="38" t="str">
        <f aca="true" t="shared" si="2" ref="E5:E36">IF(ISBLANK(B5),"",VLOOKUP(B5,Starter_Feld,4,FALSE))</f>
        <v>Team Minuth Motorsport</v>
      </c>
      <c r="F5" s="39" t="str">
        <f aca="true" t="shared" si="3" ref="F5:F36">IF(ISBLANK(B5),"",VLOOKUP(B5,Starter_Feld,5,FALSE))</f>
        <v>Opel Kadett C Coupé</v>
      </c>
      <c r="G5" s="38">
        <f aca="true" t="shared" si="4" ref="G5:G36">IF(ISBLANK(B5),"",VLOOKUP(B5,Starter_Feld,7,FALSE))</f>
        <v>0</v>
      </c>
      <c r="H5" s="38">
        <f aca="true" t="shared" si="5" ref="H5:H36">IF(ISBLANK(B5),"",VLOOKUP(B5,Starter_Feld,8,FALSE))</f>
        <v>0</v>
      </c>
      <c r="I5" s="105">
        <v>0.0006278935185185185</v>
      </c>
      <c r="J5" s="116"/>
      <c r="K5" s="154">
        <f aca="true" t="shared" si="6" ref="K5:K50">IF(ISBLANK(B5),"",1)</f>
        <v>1</v>
      </c>
    </row>
    <row r="6" spans="1:11" s="33" customFormat="1" ht="15" customHeight="1">
      <c r="A6" s="113">
        <f aca="true" t="shared" si="7" ref="A6:A50">IF(ISBLANK(B6),"",A5+1)</f>
        <v>2</v>
      </c>
      <c r="B6" s="57">
        <v>16</v>
      </c>
      <c r="C6" s="36">
        <f t="shared" si="0"/>
        <v>15531</v>
      </c>
      <c r="D6" s="37" t="str">
        <f t="shared" si="1"/>
        <v>Minuth, Franziska</v>
      </c>
      <c r="E6" s="38" t="str">
        <f t="shared" si="2"/>
        <v>Team Minuth Motorsport</v>
      </c>
      <c r="F6" s="39" t="str">
        <f t="shared" si="3"/>
        <v>Opel Kadett C Coupé</v>
      </c>
      <c r="G6" s="38">
        <f t="shared" si="4"/>
        <v>1</v>
      </c>
      <c r="H6" s="38">
        <f t="shared" si="5"/>
        <v>1</v>
      </c>
      <c r="I6" s="105">
        <v>0.000787037037037037</v>
      </c>
      <c r="J6" s="117"/>
      <c r="K6" s="154">
        <f t="shared" si="6"/>
        <v>1</v>
      </c>
    </row>
    <row r="7" spans="1:11" s="33" customFormat="1" ht="15" customHeight="1">
      <c r="A7" s="113">
        <f t="shared" si="7"/>
        <v>3</v>
      </c>
      <c r="B7" s="57">
        <v>177</v>
      </c>
      <c r="C7" s="36">
        <f t="shared" si="0"/>
        <v>0</v>
      </c>
      <c r="D7" s="37" t="str">
        <f t="shared" si="1"/>
        <v>Emgenbroich, Daniel</v>
      </c>
      <c r="E7" s="38">
        <f t="shared" si="2"/>
        <v>0</v>
      </c>
      <c r="F7" s="39" t="str">
        <f t="shared" si="3"/>
        <v>Lotus Super Seven Rush</v>
      </c>
      <c r="G7" s="38">
        <f t="shared" si="4"/>
        <v>0</v>
      </c>
      <c r="H7" s="38">
        <f t="shared" si="5"/>
        <v>0</v>
      </c>
      <c r="I7" s="105">
        <v>0.0008483842592592593</v>
      </c>
      <c r="J7" s="117"/>
      <c r="K7" s="154">
        <f t="shared" si="6"/>
        <v>1</v>
      </c>
    </row>
    <row r="8" spans="1:11" s="33" customFormat="1" ht="15" customHeight="1">
      <c r="A8" s="113">
        <f t="shared" si="7"/>
        <v>4</v>
      </c>
      <c r="B8" s="57">
        <v>700</v>
      </c>
      <c r="C8" s="36">
        <f t="shared" si="0"/>
        <v>14271</v>
      </c>
      <c r="D8" s="37" t="str">
        <f t="shared" si="1"/>
        <v>Mohr, Mathias</v>
      </c>
      <c r="E8" s="38" t="str">
        <f t="shared" si="2"/>
        <v>Chaosteam</v>
      </c>
      <c r="F8" s="39" t="str">
        <f t="shared" si="3"/>
        <v>Austin Mini 16 V</v>
      </c>
      <c r="G8" s="38">
        <f t="shared" si="4"/>
        <v>0</v>
      </c>
      <c r="H8" s="38">
        <f t="shared" si="5"/>
        <v>0</v>
      </c>
      <c r="I8" s="105">
        <v>0.000853949074074074</v>
      </c>
      <c r="J8" s="117"/>
      <c r="K8" s="154">
        <f t="shared" si="6"/>
        <v>1</v>
      </c>
    </row>
    <row r="9" spans="1:11" s="33" customFormat="1" ht="15" customHeight="1">
      <c r="A9" s="113">
        <f t="shared" si="7"/>
        <v>5</v>
      </c>
      <c r="B9" s="57">
        <v>799</v>
      </c>
      <c r="C9" s="36">
        <f t="shared" si="0"/>
        <v>0</v>
      </c>
      <c r="D9" s="37" t="str">
        <f t="shared" si="1"/>
        <v>Wolf, Kevin</v>
      </c>
      <c r="E9" s="38">
        <f t="shared" si="2"/>
        <v>0</v>
      </c>
      <c r="F9" s="39" t="str">
        <f t="shared" si="3"/>
        <v>BMW E30 V8</v>
      </c>
      <c r="G9" s="38">
        <f t="shared" si="4"/>
        <v>1</v>
      </c>
      <c r="H9" s="38">
        <f t="shared" si="5"/>
        <v>0</v>
      </c>
      <c r="I9" s="105">
        <v>0.0008554398148148148</v>
      </c>
      <c r="J9" s="117"/>
      <c r="K9" s="154">
        <f t="shared" si="6"/>
        <v>1</v>
      </c>
    </row>
    <row r="10" spans="1:11" s="33" customFormat="1" ht="15" customHeight="1">
      <c r="A10" s="113">
        <f t="shared" si="7"/>
      </c>
      <c r="B10" s="57"/>
      <c r="C10" s="36">
        <f t="shared" si="0"/>
      </c>
      <c r="D10" s="37">
        <f t="shared" si="1"/>
      </c>
      <c r="E10" s="38">
        <f t="shared" si="2"/>
      </c>
      <c r="F10" s="39">
        <f t="shared" si="3"/>
      </c>
      <c r="G10" s="38">
        <f t="shared" si="4"/>
      </c>
      <c r="H10" s="38">
        <f t="shared" si="5"/>
      </c>
      <c r="I10" s="105"/>
      <c r="J10" s="117"/>
      <c r="K10" s="154">
        <f t="shared" si="6"/>
      </c>
    </row>
    <row r="11" spans="1:11" s="33" customFormat="1" ht="15" customHeight="1">
      <c r="A11" s="113">
        <f t="shared" si="7"/>
      </c>
      <c r="B11" s="57"/>
      <c r="C11" s="36">
        <f t="shared" si="0"/>
      </c>
      <c r="D11" s="37">
        <f t="shared" si="1"/>
      </c>
      <c r="E11" s="38">
        <f t="shared" si="2"/>
      </c>
      <c r="F11" s="39">
        <f t="shared" si="3"/>
      </c>
      <c r="G11" s="38">
        <f t="shared" si="4"/>
      </c>
      <c r="H11" s="38">
        <f t="shared" si="5"/>
      </c>
      <c r="I11" s="105"/>
      <c r="J11" s="117"/>
      <c r="K11" s="154">
        <f t="shared" si="6"/>
      </c>
    </row>
    <row r="12" spans="1:11" s="33" customFormat="1" ht="15" customHeight="1">
      <c r="A12" s="113">
        <f t="shared" si="7"/>
      </c>
      <c r="B12" s="57"/>
      <c r="C12" s="36">
        <f t="shared" si="0"/>
      </c>
      <c r="D12" s="37">
        <f t="shared" si="1"/>
      </c>
      <c r="E12" s="38">
        <f t="shared" si="2"/>
      </c>
      <c r="F12" s="39">
        <f t="shared" si="3"/>
      </c>
      <c r="G12" s="38">
        <f t="shared" si="4"/>
      </c>
      <c r="H12" s="38">
        <f t="shared" si="5"/>
      </c>
      <c r="I12" s="105"/>
      <c r="J12" s="117"/>
      <c r="K12" s="154">
        <f t="shared" si="6"/>
      </c>
    </row>
    <row r="13" spans="1:11" s="33" customFormat="1" ht="15" customHeight="1">
      <c r="A13" s="113">
        <f t="shared" si="7"/>
      </c>
      <c r="B13" s="57"/>
      <c r="C13" s="36">
        <f t="shared" si="0"/>
      </c>
      <c r="D13" s="37">
        <f t="shared" si="1"/>
      </c>
      <c r="E13" s="38">
        <f t="shared" si="2"/>
      </c>
      <c r="F13" s="39">
        <f t="shared" si="3"/>
      </c>
      <c r="G13" s="38">
        <f t="shared" si="4"/>
      </c>
      <c r="H13" s="38">
        <f t="shared" si="5"/>
      </c>
      <c r="I13" s="105"/>
      <c r="J13" s="117"/>
      <c r="K13" s="154">
        <f t="shared" si="6"/>
      </c>
    </row>
    <row r="14" spans="1:11" s="33" customFormat="1" ht="15" customHeight="1">
      <c r="A14" s="113">
        <f t="shared" si="7"/>
      </c>
      <c r="B14" s="57"/>
      <c r="C14" s="36">
        <f t="shared" si="0"/>
      </c>
      <c r="D14" s="37">
        <f t="shared" si="1"/>
      </c>
      <c r="E14" s="38">
        <f t="shared" si="2"/>
      </c>
      <c r="F14" s="39">
        <f t="shared" si="3"/>
      </c>
      <c r="G14" s="38">
        <f t="shared" si="4"/>
      </c>
      <c r="H14" s="38">
        <f t="shared" si="5"/>
      </c>
      <c r="I14" s="105"/>
      <c r="J14" s="117"/>
      <c r="K14" s="154">
        <f t="shared" si="6"/>
      </c>
    </row>
    <row r="15" spans="1:11" s="33" customFormat="1" ht="15" customHeight="1">
      <c r="A15" s="113">
        <f t="shared" si="7"/>
      </c>
      <c r="B15" s="57"/>
      <c r="C15" s="36">
        <f t="shared" si="0"/>
      </c>
      <c r="D15" s="37">
        <f t="shared" si="1"/>
      </c>
      <c r="E15" s="38">
        <f t="shared" si="2"/>
      </c>
      <c r="F15" s="39">
        <f t="shared" si="3"/>
      </c>
      <c r="G15" s="38">
        <f t="shared" si="4"/>
      </c>
      <c r="H15" s="38">
        <f t="shared" si="5"/>
      </c>
      <c r="I15" s="105"/>
      <c r="J15" s="117"/>
      <c r="K15" s="154">
        <f t="shared" si="6"/>
      </c>
    </row>
    <row r="16" spans="1:11" s="33" customFormat="1" ht="15" customHeight="1">
      <c r="A16" s="113">
        <f t="shared" si="7"/>
      </c>
      <c r="B16" s="57"/>
      <c r="C16" s="36">
        <f t="shared" si="0"/>
      </c>
      <c r="D16" s="37">
        <f t="shared" si="1"/>
      </c>
      <c r="E16" s="38">
        <f t="shared" si="2"/>
      </c>
      <c r="F16" s="39">
        <f t="shared" si="3"/>
      </c>
      <c r="G16" s="38">
        <f t="shared" si="4"/>
      </c>
      <c r="H16" s="38">
        <f t="shared" si="5"/>
      </c>
      <c r="I16" s="105"/>
      <c r="J16" s="117"/>
      <c r="K16" s="154">
        <f t="shared" si="6"/>
      </c>
    </row>
    <row r="17" spans="1:11" s="33" customFormat="1" ht="15" customHeight="1">
      <c r="A17" s="113">
        <f t="shared" si="7"/>
      </c>
      <c r="B17" s="57"/>
      <c r="C17" s="36">
        <f t="shared" si="0"/>
      </c>
      <c r="D17" s="37">
        <f t="shared" si="1"/>
      </c>
      <c r="E17" s="38">
        <f t="shared" si="2"/>
      </c>
      <c r="F17" s="39">
        <f t="shared" si="3"/>
      </c>
      <c r="G17" s="38">
        <f t="shared" si="4"/>
      </c>
      <c r="H17" s="38">
        <f t="shared" si="5"/>
      </c>
      <c r="I17" s="105"/>
      <c r="J17" s="117"/>
      <c r="K17" s="154">
        <f t="shared" si="6"/>
      </c>
    </row>
    <row r="18" spans="1:11" s="33" customFormat="1" ht="15" customHeight="1">
      <c r="A18" s="113">
        <f t="shared" si="7"/>
      </c>
      <c r="B18" s="57"/>
      <c r="C18" s="36">
        <f t="shared" si="0"/>
      </c>
      <c r="D18" s="37">
        <f t="shared" si="1"/>
      </c>
      <c r="E18" s="38">
        <f t="shared" si="2"/>
      </c>
      <c r="F18" s="39">
        <f t="shared" si="3"/>
      </c>
      <c r="G18" s="38">
        <f t="shared" si="4"/>
      </c>
      <c r="H18" s="38">
        <f t="shared" si="5"/>
      </c>
      <c r="I18" s="105"/>
      <c r="J18" s="117"/>
      <c r="K18" s="154">
        <f t="shared" si="6"/>
      </c>
    </row>
    <row r="19" spans="1:11" s="33" customFormat="1" ht="15" customHeight="1">
      <c r="A19" s="113">
        <f t="shared" si="7"/>
      </c>
      <c r="B19" s="57"/>
      <c r="C19" s="36">
        <f t="shared" si="0"/>
      </c>
      <c r="D19" s="37">
        <f t="shared" si="1"/>
      </c>
      <c r="E19" s="38">
        <f t="shared" si="2"/>
      </c>
      <c r="F19" s="39">
        <f t="shared" si="3"/>
      </c>
      <c r="G19" s="38">
        <f t="shared" si="4"/>
      </c>
      <c r="H19" s="38">
        <f t="shared" si="5"/>
      </c>
      <c r="I19" s="105"/>
      <c r="J19" s="117"/>
      <c r="K19" s="154">
        <f t="shared" si="6"/>
      </c>
    </row>
    <row r="20" spans="1:11" s="33" customFormat="1" ht="15" customHeight="1">
      <c r="A20" s="113">
        <f t="shared" si="7"/>
      </c>
      <c r="B20" s="57"/>
      <c r="C20" s="36">
        <f t="shared" si="0"/>
      </c>
      <c r="D20" s="37">
        <f t="shared" si="1"/>
      </c>
      <c r="E20" s="38">
        <f t="shared" si="2"/>
      </c>
      <c r="F20" s="39">
        <f t="shared" si="3"/>
      </c>
      <c r="G20" s="38">
        <f t="shared" si="4"/>
      </c>
      <c r="H20" s="38">
        <f t="shared" si="5"/>
      </c>
      <c r="I20" s="105"/>
      <c r="J20" s="117"/>
      <c r="K20" s="154">
        <f t="shared" si="6"/>
      </c>
    </row>
    <row r="21" spans="1:11" s="33" customFormat="1" ht="15" customHeight="1">
      <c r="A21" s="113">
        <f t="shared" si="7"/>
      </c>
      <c r="B21" s="57"/>
      <c r="C21" s="36">
        <f t="shared" si="0"/>
      </c>
      <c r="D21" s="37">
        <f t="shared" si="1"/>
      </c>
      <c r="E21" s="38">
        <f t="shared" si="2"/>
      </c>
      <c r="F21" s="39">
        <f t="shared" si="3"/>
      </c>
      <c r="G21" s="38">
        <f t="shared" si="4"/>
      </c>
      <c r="H21" s="38">
        <f t="shared" si="5"/>
      </c>
      <c r="I21" s="105"/>
      <c r="J21" s="117"/>
      <c r="K21" s="154">
        <f t="shared" si="6"/>
      </c>
    </row>
    <row r="22" spans="1:11" s="33" customFormat="1" ht="15" customHeight="1">
      <c r="A22" s="113">
        <f t="shared" si="7"/>
      </c>
      <c r="B22" s="57"/>
      <c r="C22" s="36">
        <f t="shared" si="0"/>
      </c>
      <c r="D22" s="37">
        <f t="shared" si="1"/>
      </c>
      <c r="E22" s="38">
        <f t="shared" si="2"/>
      </c>
      <c r="F22" s="39">
        <f t="shared" si="3"/>
      </c>
      <c r="G22" s="38">
        <f t="shared" si="4"/>
      </c>
      <c r="H22" s="38">
        <f t="shared" si="5"/>
      </c>
      <c r="I22" s="105"/>
      <c r="J22" s="117"/>
      <c r="K22" s="154">
        <f t="shared" si="6"/>
      </c>
    </row>
    <row r="23" spans="1:11" s="33" customFormat="1" ht="15" customHeight="1">
      <c r="A23" s="113">
        <f t="shared" si="7"/>
      </c>
      <c r="B23" s="57"/>
      <c r="C23" s="36">
        <f t="shared" si="0"/>
      </c>
      <c r="D23" s="37">
        <f t="shared" si="1"/>
      </c>
      <c r="E23" s="38">
        <f t="shared" si="2"/>
      </c>
      <c r="F23" s="39">
        <f t="shared" si="3"/>
      </c>
      <c r="G23" s="38">
        <f t="shared" si="4"/>
      </c>
      <c r="H23" s="38">
        <f t="shared" si="5"/>
      </c>
      <c r="I23" s="105"/>
      <c r="J23" s="117"/>
      <c r="K23" s="154">
        <f t="shared" si="6"/>
      </c>
    </row>
    <row r="24" spans="1:11" s="33" customFormat="1" ht="15" customHeight="1">
      <c r="A24" s="113">
        <f t="shared" si="7"/>
      </c>
      <c r="B24" s="57"/>
      <c r="C24" s="36">
        <f t="shared" si="0"/>
      </c>
      <c r="D24" s="37">
        <f t="shared" si="1"/>
      </c>
      <c r="E24" s="38">
        <f t="shared" si="2"/>
      </c>
      <c r="F24" s="39">
        <f t="shared" si="3"/>
      </c>
      <c r="G24" s="38">
        <f t="shared" si="4"/>
      </c>
      <c r="H24" s="38">
        <f t="shared" si="5"/>
      </c>
      <c r="I24" s="105"/>
      <c r="J24" s="117"/>
      <c r="K24" s="154">
        <f t="shared" si="6"/>
      </c>
    </row>
    <row r="25" spans="1:11" s="33" customFormat="1" ht="15" customHeight="1">
      <c r="A25" s="113">
        <f t="shared" si="7"/>
      </c>
      <c r="B25" s="57"/>
      <c r="C25" s="36">
        <f t="shared" si="0"/>
      </c>
      <c r="D25" s="37">
        <f t="shared" si="1"/>
      </c>
      <c r="E25" s="38">
        <f t="shared" si="2"/>
      </c>
      <c r="F25" s="39">
        <f t="shared" si="3"/>
      </c>
      <c r="G25" s="38">
        <f t="shared" si="4"/>
      </c>
      <c r="H25" s="38">
        <f t="shared" si="5"/>
      </c>
      <c r="I25" s="105"/>
      <c r="J25" s="117"/>
      <c r="K25" s="154">
        <f t="shared" si="6"/>
      </c>
    </row>
    <row r="26" spans="1:11" s="33" customFormat="1" ht="15" customHeight="1">
      <c r="A26" s="113">
        <f t="shared" si="7"/>
      </c>
      <c r="B26" s="57"/>
      <c r="C26" s="36">
        <f t="shared" si="0"/>
      </c>
      <c r="D26" s="37">
        <f t="shared" si="1"/>
      </c>
      <c r="E26" s="38">
        <f t="shared" si="2"/>
      </c>
      <c r="F26" s="39">
        <f t="shared" si="3"/>
      </c>
      <c r="G26" s="38">
        <f t="shared" si="4"/>
      </c>
      <c r="H26" s="38">
        <f t="shared" si="5"/>
      </c>
      <c r="I26" s="105"/>
      <c r="J26" s="117"/>
      <c r="K26" s="154">
        <f t="shared" si="6"/>
      </c>
    </row>
    <row r="27" spans="1:11" s="33" customFormat="1" ht="15" customHeight="1">
      <c r="A27" s="113">
        <f t="shared" si="7"/>
      </c>
      <c r="B27" s="57"/>
      <c r="C27" s="36">
        <f t="shared" si="0"/>
      </c>
      <c r="D27" s="37">
        <f t="shared" si="1"/>
      </c>
      <c r="E27" s="38">
        <f t="shared" si="2"/>
      </c>
      <c r="F27" s="39">
        <f t="shared" si="3"/>
      </c>
      <c r="G27" s="38">
        <f t="shared" si="4"/>
      </c>
      <c r="H27" s="38">
        <f t="shared" si="5"/>
      </c>
      <c r="I27" s="105"/>
      <c r="J27" s="117"/>
      <c r="K27" s="154">
        <f t="shared" si="6"/>
      </c>
    </row>
    <row r="28" spans="1:11" s="33" customFormat="1" ht="15" customHeight="1">
      <c r="A28" s="113">
        <f t="shared" si="7"/>
      </c>
      <c r="B28" s="57"/>
      <c r="C28" s="36">
        <f t="shared" si="0"/>
      </c>
      <c r="D28" s="37">
        <f t="shared" si="1"/>
      </c>
      <c r="E28" s="38">
        <f t="shared" si="2"/>
      </c>
      <c r="F28" s="39">
        <f t="shared" si="3"/>
      </c>
      <c r="G28" s="38">
        <f t="shared" si="4"/>
      </c>
      <c r="H28" s="38">
        <f t="shared" si="5"/>
      </c>
      <c r="I28" s="105"/>
      <c r="J28" s="117"/>
      <c r="K28" s="154">
        <f t="shared" si="6"/>
      </c>
    </row>
    <row r="29" spans="1:11" s="33" customFormat="1" ht="15" customHeight="1">
      <c r="A29" s="113">
        <f t="shared" si="7"/>
      </c>
      <c r="B29" s="57"/>
      <c r="C29" s="36">
        <f t="shared" si="0"/>
      </c>
      <c r="D29" s="37">
        <f t="shared" si="1"/>
      </c>
      <c r="E29" s="38">
        <f t="shared" si="2"/>
      </c>
      <c r="F29" s="39">
        <f t="shared" si="3"/>
      </c>
      <c r="G29" s="38">
        <f t="shared" si="4"/>
      </c>
      <c r="H29" s="38">
        <f t="shared" si="5"/>
      </c>
      <c r="I29" s="105"/>
      <c r="J29" s="117"/>
      <c r="K29" s="154">
        <f t="shared" si="6"/>
      </c>
    </row>
    <row r="30" spans="1:11" s="33" customFormat="1" ht="15" customHeight="1">
      <c r="A30" s="113">
        <f t="shared" si="7"/>
      </c>
      <c r="B30" s="57"/>
      <c r="C30" s="36">
        <f t="shared" si="0"/>
      </c>
      <c r="D30" s="37">
        <f t="shared" si="1"/>
      </c>
      <c r="E30" s="38">
        <f t="shared" si="2"/>
      </c>
      <c r="F30" s="39">
        <f t="shared" si="3"/>
      </c>
      <c r="G30" s="38">
        <f t="shared" si="4"/>
      </c>
      <c r="H30" s="38">
        <f t="shared" si="5"/>
      </c>
      <c r="I30" s="105"/>
      <c r="J30" s="117"/>
      <c r="K30" s="154">
        <f t="shared" si="6"/>
      </c>
    </row>
    <row r="31" spans="1:11" s="33" customFormat="1" ht="15" customHeight="1">
      <c r="A31" s="113">
        <f t="shared" si="7"/>
      </c>
      <c r="B31" s="57"/>
      <c r="C31" s="36">
        <f t="shared" si="0"/>
      </c>
      <c r="D31" s="37">
        <f t="shared" si="1"/>
      </c>
      <c r="E31" s="38">
        <f t="shared" si="2"/>
      </c>
      <c r="F31" s="39">
        <f t="shared" si="3"/>
      </c>
      <c r="G31" s="38">
        <f t="shared" si="4"/>
      </c>
      <c r="H31" s="38">
        <f t="shared" si="5"/>
      </c>
      <c r="I31" s="105"/>
      <c r="J31" s="117"/>
      <c r="K31" s="154">
        <f t="shared" si="6"/>
      </c>
    </row>
    <row r="32" spans="1:11" s="33" customFormat="1" ht="15" customHeight="1">
      <c r="A32" s="113">
        <f t="shared" si="7"/>
      </c>
      <c r="B32" s="57"/>
      <c r="C32" s="36">
        <f t="shared" si="0"/>
      </c>
      <c r="D32" s="37">
        <f t="shared" si="1"/>
      </c>
      <c r="E32" s="38">
        <f t="shared" si="2"/>
      </c>
      <c r="F32" s="39">
        <f t="shared" si="3"/>
      </c>
      <c r="G32" s="38">
        <f t="shared" si="4"/>
      </c>
      <c r="H32" s="38">
        <f t="shared" si="5"/>
      </c>
      <c r="I32" s="105"/>
      <c r="J32" s="117"/>
      <c r="K32" s="154">
        <f t="shared" si="6"/>
      </c>
    </row>
    <row r="33" spans="1:11" s="33" customFormat="1" ht="15" customHeight="1">
      <c r="A33" s="113">
        <f t="shared" si="7"/>
      </c>
      <c r="B33" s="57"/>
      <c r="C33" s="36">
        <f t="shared" si="0"/>
      </c>
      <c r="D33" s="37">
        <f t="shared" si="1"/>
      </c>
      <c r="E33" s="38">
        <f t="shared" si="2"/>
      </c>
      <c r="F33" s="39">
        <f t="shared" si="3"/>
      </c>
      <c r="G33" s="38">
        <f t="shared" si="4"/>
      </c>
      <c r="H33" s="38">
        <f t="shared" si="5"/>
      </c>
      <c r="I33" s="105"/>
      <c r="J33" s="117"/>
      <c r="K33" s="154">
        <f t="shared" si="6"/>
      </c>
    </row>
    <row r="34" spans="1:11" s="33" customFormat="1" ht="15" customHeight="1">
      <c r="A34" s="113">
        <f t="shared" si="7"/>
      </c>
      <c r="B34" s="57"/>
      <c r="C34" s="36">
        <f t="shared" si="0"/>
      </c>
      <c r="D34" s="37">
        <f t="shared" si="1"/>
      </c>
      <c r="E34" s="38">
        <f t="shared" si="2"/>
      </c>
      <c r="F34" s="39">
        <f t="shared" si="3"/>
      </c>
      <c r="G34" s="38">
        <f t="shared" si="4"/>
      </c>
      <c r="H34" s="38">
        <f t="shared" si="5"/>
      </c>
      <c r="I34" s="105"/>
      <c r="J34" s="117"/>
      <c r="K34" s="154">
        <f t="shared" si="6"/>
      </c>
    </row>
    <row r="35" spans="1:11" ht="15" customHeight="1">
      <c r="A35" s="113">
        <f t="shared" si="7"/>
      </c>
      <c r="B35" s="106"/>
      <c r="C35" s="107">
        <f t="shared" si="0"/>
      </c>
      <c r="D35" s="37">
        <f t="shared" si="1"/>
      </c>
      <c r="E35" s="37">
        <f t="shared" si="2"/>
      </c>
      <c r="F35" s="38">
        <f t="shared" si="3"/>
      </c>
      <c r="G35" s="38">
        <f t="shared" si="4"/>
      </c>
      <c r="H35" s="38">
        <f t="shared" si="5"/>
      </c>
      <c r="I35" s="105"/>
      <c r="J35" s="117"/>
      <c r="K35" s="154">
        <f t="shared" si="6"/>
      </c>
    </row>
    <row r="36" spans="1:11" ht="15" customHeight="1">
      <c r="A36" s="113">
        <f t="shared" si="7"/>
      </c>
      <c r="B36" s="106"/>
      <c r="C36" s="107">
        <f t="shared" si="0"/>
      </c>
      <c r="D36" s="37">
        <f t="shared" si="1"/>
      </c>
      <c r="E36" s="37">
        <f t="shared" si="2"/>
      </c>
      <c r="F36" s="38">
        <f t="shared" si="3"/>
      </c>
      <c r="G36" s="38">
        <f t="shared" si="4"/>
      </c>
      <c r="H36" s="38">
        <f t="shared" si="5"/>
      </c>
      <c r="I36" s="105"/>
      <c r="J36" s="117"/>
      <c r="K36" s="154">
        <f t="shared" si="6"/>
      </c>
    </row>
    <row r="37" spans="1:11" ht="15" customHeight="1">
      <c r="A37" s="113">
        <f t="shared" si="7"/>
      </c>
      <c r="B37" s="106"/>
      <c r="C37" s="107">
        <f aca="true" t="shared" si="8" ref="C37:C68">IF(ISBLANK(B37),"",VLOOKUP(B37,Starter_Feld,2,FALSE))</f>
      </c>
      <c r="D37" s="37">
        <f aca="true" t="shared" si="9" ref="D37:D68">IF(ISBLANK(B37),"",VLOOKUP(B37,Starter_Feld,3,FALSE))</f>
      </c>
      <c r="E37" s="37">
        <f aca="true" t="shared" si="10" ref="E37:E68">IF(ISBLANK(B37),"",VLOOKUP(B37,Starter_Feld,4,FALSE))</f>
      </c>
      <c r="F37" s="38">
        <f aca="true" t="shared" si="11" ref="F37:F68">IF(ISBLANK(B37),"",VLOOKUP(B37,Starter_Feld,5,FALSE))</f>
      </c>
      <c r="G37" s="38">
        <f aca="true" t="shared" si="12" ref="G37:G68">IF(ISBLANK(B37),"",VLOOKUP(B37,Starter_Feld,7,FALSE))</f>
      </c>
      <c r="H37" s="38">
        <f aca="true" t="shared" si="13" ref="H37:H68">IF(ISBLANK(B37),"",VLOOKUP(B37,Starter_Feld,8,FALSE))</f>
      </c>
      <c r="I37" s="105"/>
      <c r="J37" s="117"/>
      <c r="K37" s="154">
        <f t="shared" si="6"/>
      </c>
    </row>
    <row r="38" spans="1:11" ht="15" customHeight="1">
      <c r="A38" s="113">
        <f t="shared" si="7"/>
      </c>
      <c r="B38" s="106"/>
      <c r="C38" s="107">
        <f t="shared" si="8"/>
      </c>
      <c r="D38" s="37">
        <f t="shared" si="9"/>
      </c>
      <c r="E38" s="37">
        <f t="shared" si="10"/>
      </c>
      <c r="F38" s="38">
        <f t="shared" si="11"/>
      </c>
      <c r="G38" s="38">
        <f t="shared" si="12"/>
      </c>
      <c r="H38" s="38">
        <f t="shared" si="13"/>
      </c>
      <c r="I38" s="105"/>
      <c r="J38" s="117"/>
      <c r="K38" s="154">
        <f t="shared" si="6"/>
      </c>
    </row>
    <row r="39" spans="1:11" ht="15" customHeight="1">
      <c r="A39" s="113">
        <f t="shared" si="7"/>
      </c>
      <c r="B39" s="106"/>
      <c r="C39" s="107">
        <f t="shared" si="8"/>
      </c>
      <c r="D39" s="37">
        <f t="shared" si="9"/>
      </c>
      <c r="E39" s="37">
        <f t="shared" si="10"/>
      </c>
      <c r="F39" s="38">
        <f t="shared" si="11"/>
      </c>
      <c r="G39" s="38">
        <f t="shared" si="12"/>
      </c>
      <c r="H39" s="38">
        <f t="shared" si="13"/>
      </c>
      <c r="I39" s="105"/>
      <c r="J39" s="117"/>
      <c r="K39" s="154">
        <f t="shared" si="6"/>
      </c>
    </row>
    <row r="40" spans="1:11" ht="15" customHeight="1">
      <c r="A40" s="113">
        <f t="shared" si="7"/>
      </c>
      <c r="B40" s="106"/>
      <c r="C40" s="107">
        <f t="shared" si="8"/>
      </c>
      <c r="D40" s="37">
        <f t="shared" si="9"/>
      </c>
      <c r="E40" s="37">
        <f t="shared" si="10"/>
      </c>
      <c r="F40" s="38">
        <f t="shared" si="11"/>
      </c>
      <c r="G40" s="38">
        <f t="shared" si="12"/>
      </c>
      <c r="H40" s="38">
        <f t="shared" si="13"/>
      </c>
      <c r="I40" s="105"/>
      <c r="J40" s="117"/>
      <c r="K40" s="154">
        <f t="shared" si="6"/>
      </c>
    </row>
    <row r="41" spans="1:11" ht="15" customHeight="1">
      <c r="A41" s="113">
        <f t="shared" si="7"/>
      </c>
      <c r="B41" s="106"/>
      <c r="C41" s="107">
        <f t="shared" si="8"/>
      </c>
      <c r="D41" s="37">
        <f t="shared" si="9"/>
      </c>
      <c r="E41" s="37">
        <f t="shared" si="10"/>
      </c>
      <c r="F41" s="38">
        <f t="shared" si="11"/>
      </c>
      <c r="G41" s="38">
        <f t="shared" si="12"/>
      </c>
      <c r="H41" s="38">
        <f t="shared" si="13"/>
      </c>
      <c r="I41" s="105"/>
      <c r="J41" s="117"/>
      <c r="K41" s="154">
        <f t="shared" si="6"/>
      </c>
    </row>
    <row r="42" spans="1:11" ht="15" customHeight="1">
      <c r="A42" s="113">
        <f t="shared" si="7"/>
      </c>
      <c r="B42" s="106"/>
      <c r="C42" s="107">
        <f t="shared" si="8"/>
      </c>
      <c r="D42" s="37">
        <f t="shared" si="9"/>
      </c>
      <c r="E42" s="37">
        <f t="shared" si="10"/>
      </c>
      <c r="F42" s="38">
        <f t="shared" si="11"/>
      </c>
      <c r="G42" s="38">
        <f t="shared" si="12"/>
      </c>
      <c r="H42" s="38">
        <f t="shared" si="13"/>
      </c>
      <c r="I42" s="105"/>
      <c r="J42" s="117"/>
      <c r="K42" s="154">
        <f t="shared" si="6"/>
      </c>
    </row>
    <row r="43" spans="1:11" ht="15" customHeight="1">
      <c r="A43" s="113">
        <f t="shared" si="7"/>
      </c>
      <c r="B43" s="106"/>
      <c r="C43" s="107">
        <f t="shared" si="8"/>
      </c>
      <c r="D43" s="37">
        <f t="shared" si="9"/>
      </c>
      <c r="E43" s="37">
        <f t="shared" si="10"/>
      </c>
      <c r="F43" s="38">
        <f t="shared" si="11"/>
      </c>
      <c r="G43" s="38">
        <f t="shared" si="12"/>
      </c>
      <c r="H43" s="38">
        <f t="shared" si="13"/>
      </c>
      <c r="I43" s="105"/>
      <c r="J43" s="117"/>
      <c r="K43" s="154">
        <f t="shared" si="6"/>
      </c>
    </row>
    <row r="44" spans="1:11" ht="15" customHeight="1">
      <c r="A44" s="113">
        <f t="shared" si="7"/>
      </c>
      <c r="B44" s="106"/>
      <c r="C44" s="107">
        <f t="shared" si="8"/>
      </c>
      <c r="D44" s="37">
        <f t="shared" si="9"/>
      </c>
      <c r="E44" s="37">
        <f t="shared" si="10"/>
      </c>
      <c r="F44" s="38">
        <f t="shared" si="11"/>
      </c>
      <c r="G44" s="38">
        <f t="shared" si="12"/>
      </c>
      <c r="H44" s="38">
        <f t="shared" si="13"/>
      </c>
      <c r="I44" s="105"/>
      <c r="J44" s="117"/>
      <c r="K44" s="154">
        <f t="shared" si="6"/>
      </c>
    </row>
    <row r="45" spans="1:11" ht="15" customHeight="1">
      <c r="A45" s="113">
        <f t="shared" si="7"/>
      </c>
      <c r="B45" s="106"/>
      <c r="C45" s="107">
        <f t="shared" si="8"/>
      </c>
      <c r="D45" s="37">
        <f t="shared" si="9"/>
      </c>
      <c r="E45" s="37">
        <f t="shared" si="10"/>
      </c>
      <c r="F45" s="38">
        <f t="shared" si="11"/>
      </c>
      <c r="G45" s="38">
        <f t="shared" si="12"/>
      </c>
      <c r="H45" s="38">
        <f t="shared" si="13"/>
      </c>
      <c r="I45" s="105"/>
      <c r="J45" s="117"/>
      <c r="K45" s="154">
        <f t="shared" si="6"/>
      </c>
    </row>
    <row r="46" spans="1:11" ht="15" customHeight="1">
      <c r="A46" s="113">
        <f t="shared" si="7"/>
      </c>
      <c r="B46" s="106"/>
      <c r="C46" s="107">
        <f t="shared" si="8"/>
      </c>
      <c r="D46" s="37">
        <f t="shared" si="9"/>
      </c>
      <c r="E46" s="37">
        <f t="shared" si="10"/>
      </c>
      <c r="F46" s="38">
        <f t="shared" si="11"/>
      </c>
      <c r="G46" s="38">
        <f t="shared" si="12"/>
      </c>
      <c r="H46" s="38">
        <f t="shared" si="13"/>
      </c>
      <c r="I46" s="105"/>
      <c r="J46" s="117"/>
      <c r="K46" s="154">
        <f t="shared" si="6"/>
      </c>
    </row>
    <row r="47" spans="1:11" ht="15" customHeight="1">
      <c r="A47" s="113">
        <f t="shared" si="7"/>
      </c>
      <c r="B47" s="106"/>
      <c r="C47" s="107">
        <f t="shared" si="8"/>
      </c>
      <c r="D47" s="37">
        <f t="shared" si="9"/>
      </c>
      <c r="E47" s="37">
        <f t="shared" si="10"/>
      </c>
      <c r="F47" s="38">
        <f t="shared" si="11"/>
      </c>
      <c r="G47" s="38">
        <f t="shared" si="12"/>
      </c>
      <c r="H47" s="38">
        <f t="shared" si="13"/>
      </c>
      <c r="I47" s="105"/>
      <c r="J47" s="117"/>
      <c r="K47" s="154">
        <f t="shared" si="6"/>
      </c>
    </row>
    <row r="48" spans="1:11" ht="15" customHeight="1">
      <c r="A48" s="113">
        <f t="shared" si="7"/>
      </c>
      <c r="B48" s="106"/>
      <c r="C48" s="107">
        <f t="shared" si="8"/>
      </c>
      <c r="D48" s="37">
        <f t="shared" si="9"/>
      </c>
      <c r="E48" s="37">
        <f t="shared" si="10"/>
      </c>
      <c r="F48" s="38">
        <f t="shared" si="11"/>
      </c>
      <c r="G48" s="38">
        <f t="shared" si="12"/>
      </c>
      <c r="H48" s="38">
        <f t="shared" si="13"/>
      </c>
      <c r="I48" s="105"/>
      <c r="J48" s="117"/>
      <c r="K48" s="154">
        <f t="shared" si="6"/>
      </c>
    </row>
    <row r="49" spans="1:11" ht="15" customHeight="1">
      <c r="A49" s="113">
        <f t="shared" si="7"/>
      </c>
      <c r="B49" s="106"/>
      <c r="C49" s="107">
        <f t="shared" si="8"/>
      </c>
      <c r="D49" s="37">
        <f t="shared" si="9"/>
      </c>
      <c r="E49" s="37">
        <f t="shared" si="10"/>
      </c>
      <c r="F49" s="38">
        <f t="shared" si="11"/>
      </c>
      <c r="G49" s="38">
        <f t="shared" si="12"/>
      </c>
      <c r="H49" s="38">
        <f t="shared" si="13"/>
      </c>
      <c r="I49" s="105"/>
      <c r="J49" s="117"/>
      <c r="K49" s="154">
        <f t="shared" si="6"/>
      </c>
    </row>
    <row r="50" spans="1:11" ht="15" customHeight="1">
      <c r="A50" s="113">
        <f t="shared" si="7"/>
      </c>
      <c r="B50" s="106"/>
      <c r="C50" s="107">
        <f t="shared" si="8"/>
      </c>
      <c r="D50" s="37">
        <f t="shared" si="9"/>
      </c>
      <c r="E50" s="37">
        <f t="shared" si="10"/>
      </c>
      <c r="F50" s="38">
        <f t="shared" si="11"/>
      </c>
      <c r="G50" s="38">
        <f t="shared" si="12"/>
      </c>
      <c r="H50" s="38">
        <f t="shared" si="13"/>
      </c>
      <c r="I50" s="105"/>
      <c r="J50" s="117"/>
      <c r="K50" s="154">
        <f t="shared" si="6"/>
      </c>
    </row>
    <row r="51" spans="1:11" ht="15" customHeight="1">
      <c r="A51" s="113">
        <f aca="true" t="shared" si="14" ref="A51:A102">IF(ISBLANK(B51),"",A50+1)</f>
      </c>
      <c r="B51" s="106"/>
      <c r="C51" s="107">
        <f t="shared" si="8"/>
      </c>
      <c r="D51" s="37">
        <f t="shared" si="9"/>
      </c>
      <c r="E51" s="37">
        <f t="shared" si="10"/>
      </c>
      <c r="F51" s="38">
        <f t="shared" si="11"/>
      </c>
      <c r="G51" s="38">
        <f t="shared" si="12"/>
      </c>
      <c r="H51" s="38">
        <f t="shared" si="13"/>
      </c>
      <c r="I51" s="105"/>
      <c r="J51" s="117"/>
      <c r="K51" s="154">
        <f aca="true" t="shared" si="15" ref="K51:K102">IF(ISBLANK(B51),"",1)</f>
      </c>
    </row>
    <row r="52" spans="1:11" ht="15" customHeight="1">
      <c r="A52" s="113">
        <f t="shared" si="14"/>
      </c>
      <c r="B52" s="106"/>
      <c r="C52" s="107">
        <f t="shared" si="8"/>
      </c>
      <c r="D52" s="37">
        <f t="shared" si="9"/>
      </c>
      <c r="E52" s="37">
        <f t="shared" si="10"/>
      </c>
      <c r="F52" s="38">
        <f t="shared" si="11"/>
      </c>
      <c r="G52" s="38">
        <f t="shared" si="12"/>
      </c>
      <c r="H52" s="38">
        <f t="shared" si="13"/>
      </c>
      <c r="I52" s="105"/>
      <c r="J52" s="117"/>
      <c r="K52" s="154">
        <f t="shared" si="15"/>
      </c>
    </row>
    <row r="53" spans="1:11" ht="15" customHeight="1">
      <c r="A53" s="113">
        <f t="shared" si="14"/>
      </c>
      <c r="B53" s="106"/>
      <c r="C53" s="107">
        <f t="shared" si="8"/>
      </c>
      <c r="D53" s="37">
        <f t="shared" si="9"/>
      </c>
      <c r="E53" s="37">
        <f t="shared" si="10"/>
      </c>
      <c r="F53" s="38">
        <f t="shared" si="11"/>
      </c>
      <c r="G53" s="38">
        <f t="shared" si="12"/>
      </c>
      <c r="H53" s="38">
        <f t="shared" si="13"/>
      </c>
      <c r="I53" s="105"/>
      <c r="J53" s="117"/>
      <c r="K53" s="154">
        <f t="shared" si="15"/>
      </c>
    </row>
    <row r="54" spans="1:11" ht="15" customHeight="1">
      <c r="A54" s="113">
        <f t="shared" si="14"/>
      </c>
      <c r="B54" s="106"/>
      <c r="C54" s="107">
        <f t="shared" si="8"/>
      </c>
      <c r="D54" s="37">
        <f t="shared" si="9"/>
      </c>
      <c r="E54" s="37">
        <f t="shared" si="10"/>
      </c>
      <c r="F54" s="38">
        <f t="shared" si="11"/>
      </c>
      <c r="G54" s="38">
        <f t="shared" si="12"/>
      </c>
      <c r="H54" s="38">
        <f t="shared" si="13"/>
      </c>
      <c r="I54" s="105"/>
      <c r="J54" s="117"/>
      <c r="K54" s="154">
        <f t="shared" si="15"/>
      </c>
    </row>
    <row r="55" spans="1:11" ht="15" customHeight="1">
      <c r="A55" s="113">
        <f t="shared" si="14"/>
      </c>
      <c r="B55" s="106"/>
      <c r="C55" s="107">
        <f t="shared" si="8"/>
      </c>
      <c r="D55" s="37">
        <f t="shared" si="9"/>
      </c>
      <c r="E55" s="37">
        <f t="shared" si="10"/>
      </c>
      <c r="F55" s="38">
        <f t="shared" si="11"/>
      </c>
      <c r="G55" s="38">
        <f t="shared" si="12"/>
      </c>
      <c r="H55" s="38">
        <f t="shared" si="13"/>
      </c>
      <c r="I55" s="105"/>
      <c r="J55" s="117"/>
      <c r="K55" s="154">
        <f t="shared" si="15"/>
      </c>
    </row>
    <row r="56" spans="1:11" ht="15" customHeight="1">
      <c r="A56" s="113">
        <f t="shared" si="14"/>
      </c>
      <c r="B56" s="106"/>
      <c r="C56" s="107">
        <f t="shared" si="8"/>
      </c>
      <c r="D56" s="37">
        <f t="shared" si="9"/>
      </c>
      <c r="E56" s="37">
        <f t="shared" si="10"/>
      </c>
      <c r="F56" s="38">
        <f t="shared" si="11"/>
      </c>
      <c r="G56" s="38">
        <f t="shared" si="12"/>
      </c>
      <c r="H56" s="38">
        <f t="shared" si="13"/>
      </c>
      <c r="I56" s="105"/>
      <c r="J56" s="117"/>
      <c r="K56" s="154">
        <f t="shared" si="15"/>
      </c>
    </row>
    <row r="57" spans="1:11" ht="15" customHeight="1">
      <c r="A57" s="113">
        <f t="shared" si="14"/>
      </c>
      <c r="B57" s="106"/>
      <c r="C57" s="107">
        <f t="shared" si="8"/>
      </c>
      <c r="D57" s="37">
        <f t="shared" si="9"/>
      </c>
      <c r="E57" s="37">
        <f t="shared" si="10"/>
      </c>
      <c r="F57" s="38">
        <f t="shared" si="11"/>
      </c>
      <c r="G57" s="38">
        <f t="shared" si="12"/>
      </c>
      <c r="H57" s="38">
        <f t="shared" si="13"/>
      </c>
      <c r="I57" s="105"/>
      <c r="J57" s="117"/>
      <c r="K57" s="154">
        <f t="shared" si="15"/>
      </c>
    </row>
    <row r="58" spans="1:11" ht="15" customHeight="1">
      <c r="A58" s="113">
        <f t="shared" si="14"/>
      </c>
      <c r="B58" s="106"/>
      <c r="C58" s="107">
        <f t="shared" si="8"/>
      </c>
      <c r="D58" s="37">
        <f t="shared" si="9"/>
      </c>
      <c r="E58" s="37">
        <f t="shared" si="10"/>
      </c>
      <c r="F58" s="38">
        <f t="shared" si="11"/>
      </c>
      <c r="G58" s="38">
        <f t="shared" si="12"/>
      </c>
      <c r="H58" s="38">
        <f t="shared" si="13"/>
      </c>
      <c r="I58" s="105"/>
      <c r="J58" s="117"/>
      <c r="K58" s="154">
        <f t="shared" si="15"/>
      </c>
    </row>
    <row r="59" spans="1:11" ht="15" customHeight="1">
      <c r="A59" s="113">
        <f t="shared" si="14"/>
      </c>
      <c r="B59" s="106"/>
      <c r="C59" s="107">
        <f t="shared" si="8"/>
      </c>
      <c r="D59" s="37">
        <f t="shared" si="9"/>
      </c>
      <c r="E59" s="37">
        <f t="shared" si="10"/>
      </c>
      <c r="F59" s="38">
        <f t="shared" si="11"/>
      </c>
      <c r="G59" s="38">
        <f t="shared" si="12"/>
      </c>
      <c r="H59" s="38">
        <f t="shared" si="13"/>
      </c>
      <c r="I59" s="105"/>
      <c r="J59" s="117"/>
      <c r="K59" s="154">
        <f t="shared" si="15"/>
      </c>
    </row>
    <row r="60" spans="1:11" ht="15" customHeight="1">
      <c r="A60" s="113">
        <f t="shared" si="14"/>
      </c>
      <c r="B60" s="106"/>
      <c r="C60" s="107">
        <f t="shared" si="8"/>
      </c>
      <c r="D60" s="37">
        <f t="shared" si="9"/>
      </c>
      <c r="E60" s="37">
        <f t="shared" si="10"/>
      </c>
      <c r="F60" s="38">
        <f t="shared" si="11"/>
      </c>
      <c r="G60" s="38">
        <f t="shared" si="12"/>
      </c>
      <c r="H60" s="38">
        <f t="shared" si="13"/>
      </c>
      <c r="I60" s="105"/>
      <c r="J60" s="117"/>
      <c r="K60" s="154">
        <f t="shared" si="15"/>
      </c>
    </row>
    <row r="61" spans="1:11" ht="15" customHeight="1">
      <c r="A61" s="113">
        <f t="shared" si="14"/>
      </c>
      <c r="B61" s="106"/>
      <c r="C61" s="107">
        <f t="shared" si="8"/>
      </c>
      <c r="D61" s="37">
        <f t="shared" si="9"/>
      </c>
      <c r="E61" s="37">
        <f t="shared" si="10"/>
      </c>
      <c r="F61" s="38">
        <f t="shared" si="11"/>
      </c>
      <c r="G61" s="38">
        <f t="shared" si="12"/>
      </c>
      <c r="H61" s="38">
        <f t="shared" si="13"/>
      </c>
      <c r="I61" s="105"/>
      <c r="J61" s="117"/>
      <c r="K61" s="154">
        <f t="shared" si="15"/>
      </c>
    </row>
    <row r="62" spans="1:11" ht="15" customHeight="1">
      <c r="A62" s="113">
        <f t="shared" si="14"/>
      </c>
      <c r="B62" s="106"/>
      <c r="C62" s="107">
        <f t="shared" si="8"/>
      </c>
      <c r="D62" s="37">
        <f t="shared" si="9"/>
      </c>
      <c r="E62" s="37">
        <f t="shared" si="10"/>
      </c>
      <c r="F62" s="38">
        <f t="shared" si="11"/>
      </c>
      <c r="G62" s="38">
        <f t="shared" si="12"/>
      </c>
      <c r="H62" s="38">
        <f t="shared" si="13"/>
      </c>
      <c r="I62" s="105"/>
      <c r="J62" s="117"/>
      <c r="K62" s="154">
        <f t="shared" si="15"/>
      </c>
    </row>
    <row r="63" spans="1:11" ht="15" customHeight="1">
      <c r="A63" s="113">
        <f t="shared" si="14"/>
      </c>
      <c r="B63" s="106"/>
      <c r="C63" s="107">
        <f t="shared" si="8"/>
      </c>
      <c r="D63" s="37">
        <f t="shared" si="9"/>
      </c>
      <c r="E63" s="37">
        <f t="shared" si="10"/>
      </c>
      <c r="F63" s="38">
        <f t="shared" si="11"/>
      </c>
      <c r="G63" s="38">
        <f t="shared" si="12"/>
      </c>
      <c r="H63" s="38">
        <f t="shared" si="13"/>
      </c>
      <c r="I63" s="105"/>
      <c r="J63" s="117"/>
      <c r="K63" s="154">
        <f t="shared" si="15"/>
      </c>
    </row>
    <row r="64" spans="1:11" ht="15" customHeight="1">
      <c r="A64" s="113">
        <f t="shared" si="14"/>
      </c>
      <c r="B64" s="106"/>
      <c r="C64" s="107">
        <f t="shared" si="8"/>
      </c>
      <c r="D64" s="37">
        <f t="shared" si="9"/>
      </c>
      <c r="E64" s="37">
        <f t="shared" si="10"/>
      </c>
      <c r="F64" s="38">
        <f t="shared" si="11"/>
      </c>
      <c r="G64" s="38">
        <f t="shared" si="12"/>
      </c>
      <c r="H64" s="38">
        <f t="shared" si="13"/>
      </c>
      <c r="I64" s="105"/>
      <c r="J64" s="117"/>
      <c r="K64" s="154">
        <f t="shared" si="15"/>
      </c>
    </row>
    <row r="65" spans="1:11" ht="15" customHeight="1">
      <c r="A65" s="113">
        <f t="shared" si="14"/>
      </c>
      <c r="B65" s="106"/>
      <c r="C65" s="107">
        <f t="shared" si="8"/>
      </c>
      <c r="D65" s="37">
        <f t="shared" si="9"/>
      </c>
      <c r="E65" s="37">
        <f t="shared" si="10"/>
      </c>
      <c r="F65" s="38">
        <f t="shared" si="11"/>
      </c>
      <c r="G65" s="38">
        <f t="shared" si="12"/>
      </c>
      <c r="H65" s="38">
        <f t="shared" si="13"/>
      </c>
      <c r="I65" s="105"/>
      <c r="J65" s="117"/>
      <c r="K65" s="154">
        <f t="shared" si="15"/>
      </c>
    </row>
    <row r="66" spans="1:11" ht="15" customHeight="1">
      <c r="A66" s="113">
        <f t="shared" si="14"/>
      </c>
      <c r="B66" s="106"/>
      <c r="C66" s="107">
        <f t="shared" si="8"/>
      </c>
      <c r="D66" s="37">
        <f t="shared" si="9"/>
      </c>
      <c r="E66" s="37">
        <f t="shared" si="10"/>
      </c>
      <c r="F66" s="38">
        <f t="shared" si="11"/>
      </c>
      <c r="G66" s="38">
        <f t="shared" si="12"/>
      </c>
      <c r="H66" s="38">
        <f t="shared" si="13"/>
      </c>
      <c r="I66" s="105"/>
      <c r="J66" s="117"/>
      <c r="K66" s="154">
        <f t="shared" si="15"/>
      </c>
    </row>
    <row r="67" spans="1:11" ht="15" customHeight="1">
      <c r="A67" s="113">
        <f t="shared" si="14"/>
      </c>
      <c r="B67" s="106"/>
      <c r="C67" s="107">
        <f t="shared" si="8"/>
      </c>
      <c r="D67" s="37">
        <f t="shared" si="9"/>
      </c>
      <c r="E67" s="37">
        <f t="shared" si="10"/>
      </c>
      <c r="F67" s="38">
        <f t="shared" si="11"/>
      </c>
      <c r="G67" s="38">
        <f t="shared" si="12"/>
      </c>
      <c r="H67" s="38">
        <f t="shared" si="13"/>
      </c>
      <c r="I67" s="105"/>
      <c r="J67" s="117"/>
      <c r="K67" s="154">
        <f t="shared" si="15"/>
      </c>
    </row>
    <row r="68" spans="1:11" ht="15" customHeight="1">
      <c r="A68" s="113">
        <f t="shared" si="14"/>
      </c>
      <c r="B68" s="106"/>
      <c r="C68" s="107">
        <f t="shared" si="8"/>
      </c>
      <c r="D68" s="37">
        <f t="shared" si="9"/>
      </c>
      <c r="E68" s="37">
        <f t="shared" si="10"/>
      </c>
      <c r="F68" s="38">
        <f t="shared" si="11"/>
      </c>
      <c r="G68" s="38">
        <f t="shared" si="12"/>
      </c>
      <c r="H68" s="38">
        <f t="shared" si="13"/>
      </c>
      <c r="I68" s="105"/>
      <c r="J68" s="117"/>
      <c r="K68" s="154">
        <f t="shared" si="15"/>
      </c>
    </row>
    <row r="69" spans="1:11" ht="15" customHeight="1">
      <c r="A69" s="113">
        <f t="shared" si="14"/>
      </c>
      <c r="B69" s="106"/>
      <c r="C69" s="107">
        <f aca="true" t="shared" si="16" ref="C69:C100">IF(ISBLANK(B69),"",VLOOKUP(B69,Starter_Feld,2,FALSE))</f>
      </c>
      <c r="D69" s="37">
        <f aca="true" t="shared" si="17" ref="D69:D102">IF(ISBLANK(B69),"",VLOOKUP(B69,Starter_Feld,3,FALSE))</f>
      </c>
      <c r="E69" s="37">
        <f aca="true" t="shared" si="18" ref="E69:E102">IF(ISBLANK(B69),"",VLOOKUP(B69,Starter_Feld,4,FALSE))</f>
      </c>
      <c r="F69" s="38">
        <f aca="true" t="shared" si="19" ref="F69:F102">IF(ISBLANK(B69),"",VLOOKUP(B69,Starter_Feld,5,FALSE))</f>
      </c>
      <c r="G69" s="38">
        <f aca="true" t="shared" si="20" ref="G69:G102">IF(ISBLANK(B69),"",VLOOKUP(B69,Starter_Feld,7,FALSE))</f>
      </c>
      <c r="H69" s="38">
        <f aca="true" t="shared" si="21" ref="H69:H102">IF(ISBLANK(B69),"",VLOOKUP(B69,Starter_Feld,8,FALSE))</f>
      </c>
      <c r="I69" s="105"/>
      <c r="J69" s="117"/>
      <c r="K69" s="154">
        <f t="shared" si="15"/>
      </c>
    </row>
    <row r="70" spans="1:11" ht="15" customHeight="1">
      <c r="A70" s="113">
        <f t="shared" si="14"/>
      </c>
      <c r="B70" s="106"/>
      <c r="C70" s="107">
        <f t="shared" si="16"/>
      </c>
      <c r="D70" s="37">
        <f t="shared" si="17"/>
      </c>
      <c r="E70" s="37">
        <f t="shared" si="18"/>
      </c>
      <c r="F70" s="38">
        <f t="shared" si="19"/>
      </c>
      <c r="G70" s="38">
        <f t="shared" si="20"/>
      </c>
      <c r="H70" s="38">
        <f t="shared" si="21"/>
      </c>
      <c r="I70" s="105"/>
      <c r="J70" s="117"/>
      <c r="K70" s="154">
        <f t="shared" si="15"/>
      </c>
    </row>
    <row r="71" spans="1:11" ht="15" customHeight="1">
      <c r="A71" s="113">
        <f t="shared" si="14"/>
      </c>
      <c r="B71" s="106"/>
      <c r="C71" s="107">
        <f t="shared" si="16"/>
      </c>
      <c r="D71" s="37">
        <f t="shared" si="17"/>
      </c>
      <c r="E71" s="37">
        <f t="shared" si="18"/>
      </c>
      <c r="F71" s="38">
        <f t="shared" si="19"/>
      </c>
      <c r="G71" s="38">
        <f t="shared" si="20"/>
      </c>
      <c r="H71" s="38">
        <f t="shared" si="21"/>
      </c>
      <c r="I71" s="105"/>
      <c r="J71" s="117"/>
      <c r="K71" s="154">
        <f t="shared" si="15"/>
      </c>
    </row>
    <row r="72" spans="1:11" ht="15" customHeight="1">
      <c r="A72" s="113">
        <f t="shared" si="14"/>
      </c>
      <c r="B72" s="106"/>
      <c r="C72" s="107">
        <f t="shared" si="16"/>
      </c>
      <c r="D72" s="37">
        <f t="shared" si="17"/>
      </c>
      <c r="E72" s="37">
        <f t="shared" si="18"/>
      </c>
      <c r="F72" s="38">
        <f t="shared" si="19"/>
      </c>
      <c r="G72" s="38">
        <f t="shared" si="20"/>
      </c>
      <c r="H72" s="38">
        <f t="shared" si="21"/>
      </c>
      <c r="I72" s="105"/>
      <c r="J72" s="117"/>
      <c r="K72" s="154">
        <f t="shared" si="15"/>
      </c>
    </row>
    <row r="73" spans="1:11" ht="15" customHeight="1">
      <c r="A73" s="113">
        <f t="shared" si="14"/>
      </c>
      <c r="B73" s="106"/>
      <c r="C73" s="107">
        <f t="shared" si="16"/>
      </c>
      <c r="D73" s="37">
        <f t="shared" si="17"/>
      </c>
      <c r="E73" s="37">
        <f t="shared" si="18"/>
      </c>
      <c r="F73" s="38">
        <f t="shared" si="19"/>
      </c>
      <c r="G73" s="38">
        <f t="shared" si="20"/>
      </c>
      <c r="H73" s="38">
        <f t="shared" si="21"/>
      </c>
      <c r="I73" s="105"/>
      <c r="J73" s="117"/>
      <c r="K73" s="154">
        <f t="shared" si="15"/>
      </c>
    </row>
    <row r="74" spans="1:11" ht="15" customHeight="1">
      <c r="A74" s="113">
        <f t="shared" si="14"/>
      </c>
      <c r="B74" s="106"/>
      <c r="C74" s="107">
        <f t="shared" si="16"/>
      </c>
      <c r="D74" s="37">
        <f t="shared" si="17"/>
      </c>
      <c r="E74" s="37">
        <f t="shared" si="18"/>
      </c>
      <c r="F74" s="38">
        <f t="shared" si="19"/>
      </c>
      <c r="G74" s="38">
        <f t="shared" si="20"/>
      </c>
      <c r="H74" s="38">
        <f t="shared" si="21"/>
      </c>
      <c r="I74" s="105"/>
      <c r="J74" s="117"/>
      <c r="K74" s="154">
        <f t="shared" si="15"/>
      </c>
    </row>
    <row r="75" spans="1:11" ht="15" customHeight="1">
      <c r="A75" s="113">
        <f t="shared" si="14"/>
      </c>
      <c r="B75" s="106"/>
      <c r="C75" s="107">
        <f t="shared" si="16"/>
      </c>
      <c r="D75" s="37">
        <f t="shared" si="17"/>
      </c>
      <c r="E75" s="37">
        <f t="shared" si="18"/>
      </c>
      <c r="F75" s="38">
        <f t="shared" si="19"/>
      </c>
      <c r="G75" s="38">
        <f t="shared" si="20"/>
      </c>
      <c r="H75" s="38">
        <f t="shared" si="21"/>
      </c>
      <c r="I75" s="105"/>
      <c r="J75" s="117"/>
      <c r="K75" s="154">
        <f t="shared" si="15"/>
      </c>
    </row>
    <row r="76" spans="1:11" ht="15" customHeight="1">
      <c r="A76" s="113">
        <f t="shared" si="14"/>
      </c>
      <c r="B76" s="106"/>
      <c r="C76" s="107">
        <f t="shared" si="16"/>
      </c>
      <c r="D76" s="37">
        <f t="shared" si="17"/>
      </c>
      <c r="E76" s="37">
        <f t="shared" si="18"/>
      </c>
      <c r="F76" s="38">
        <f t="shared" si="19"/>
      </c>
      <c r="G76" s="38">
        <f t="shared" si="20"/>
      </c>
      <c r="H76" s="38">
        <f t="shared" si="21"/>
      </c>
      <c r="I76" s="105"/>
      <c r="J76" s="117"/>
      <c r="K76" s="154">
        <f t="shared" si="15"/>
      </c>
    </row>
    <row r="77" spans="1:11" ht="15" customHeight="1">
      <c r="A77" s="113">
        <f t="shared" si="14"/>
      </c>
      <c r="B77" s="106"/>
      <c r="C77" s="107">
        <f t="shared" si="16"/>
      </c>
      <c r="D77" s="37">
        <f t="shared" si="17"/>
      </c>
      <c r="E77" s="37">
        <f t="shared" si="18"/>
      </c>
      <c r="F77" s="38">
        <f t="shared" si="19"/>
      </c>
      <c r="G77" s="38">
        <f t="shared" si="20"/>
      </c>
      <c r="H77" s="38">
        <f t="shared" si="21"/>
      </c>
      <c r="I77" s="105"/>
      <c r="J77" s="117"/>
      <c r="K77" s="154">
        <f t="shared" si="15"/>
      </c>
    </row>
    <row r="78" spans="1:11" ht="15" customHeight="1">
      <c r="A78" s="113">
        <f t="shared" si="14"/>
      </c>
      <c r="B78" s="106"/>
      <c r="C78" s="107">
        <f t="shared" si="16"/>
      </c>
      <c r="D78" s="37">
        <f t="shared" si="17"/>
      </c>
      <c r="E78" s="37">
        <f t="shared" si="18"/>
      </c>
      <c r="F78" s="38">
        <f t="shared" si="19"/>
      </c>
      <c r="G78" s="38">
        <f t="shared" si="20"/>
      </c>
      <c r="H78" s="38">
        <f t="shared" si="21"/>
      </c>
      <c r="I78" s="105"/>
      <c r="J78" s="117"/>
      <c r="K78" s="154">
        <f t="shared" si="15"/>
      </c>
    </row>
    <row r="79" spans="1:11" ht="15" customHeight="1">
      <c r="A79" s="113">
        <f t="shared" si="14"/>
      </c>
      <c r="B79" s="106"/>
      <c r="C79" s="107">
        <f t="shared" si="16"/>
      </c>
      <c r="D79" s="37">
        <f t="shared" si="17"/>
      </c>
      <c r="E79" s="37">
        <f t="shared" si="18"/>
      </c>
      <c r="F79" s="38">
        <f t="shared" si="19"/>
      </c>
      <c r="G79" s="38">
        <f t="shared" si="20"/>
      </c>
      <c r="H79" s="38">
        <f t="shared" si="21"/>
      </c>
      <c r="I79" s="105"/>
      <c r="J79" s="117"/>
      <c r="K79" s="154">
        <f t="shared" si="15"/>
      </c>
    </row>
    <row r="80" spans="1:11" ht="15" customHeight="1">
      <c r="A80" s="113">
        <f t="shared" si="14"/>
      </c>
      <c r="B80" s="106"/>
      <c r="C80" s="107">
        <f t="shared" si="16"/>
      </c>
      <c r="D80" s="37">
        <f t="shared" si="17"/>
      </c>
      <c r="E80" s="37">
        <f t="shared" si="18"/>
      </c>
      <c r="F80" s="38">
        <f t="shared" si="19"/>
      </c>
      <c r="G80" s="38">
        <f t="shared" si="20"/>
      </c>
      <c r="H80" s="38">
        <f t="shared" si="21"/>
      </c>
      <c r="I80" s="105"/>
      <c r="J80" s="117"/>
      <c r="K80" s="154">
        <f t="shared" si="15"/>
      </c>
    </row>
    <row r="81" spans="1:11" ht="15" customHeight="1">
      <c r="A81" s="113">
        <f t="shared" si="14"/>
      </c>
      <c r="B81" s="106"/>
      <c r="C81" s="107">
        <f t="shared" si="16"/>
      </c>
      <c r="D81" s="37">
        <f t="shared" si="17"/>
      </c>
      <c r="E81" s="37">
        <f t="shared" si="18"/>
      </c>
      <c r="F81" s="38">
        <f t="shared" si="19"/>
      </c>
      <c r="G81" s="38">
        <f t="shared" si="20"/>
      </c>
      <c r="H81" s="38">
        <f t="shared" si="21"/>
      </c>
      <c r="I81" s="105"/>
      <c r="J81" s="117"/>
      <c r="K81" s="154">
        <f t="shared" si="15"/>
      </c>
    </row>
    <row r="82" spans="1:11" ht="15" customHeight="1">
      <c r="A82" s="113">
        <f t="shared" si="14"/>
      </c>
      <c r="B82" s="106"/>
      <c r="C82" s="107">
        <f t="shared" si="16"/>
      </c>
      <c r="D82" s="37">
        <f t="shared" si="17"/>
      </c>
      <c r="E82" s="37">
        <f t="shared" si="18"/>
      </c>
      <c r="F82" s="38">
        <f t="shared" si="19"/>
      </c>
      <c r="G82" s="38">
        <f t="shared" si="20"/>
      </c>
      <c r="H82" s="38">
        <f t="shared" si="21"/>
      </c>
      <c r="I82" s="105"/>
      <c r="J82" s="117"/>
      <c r="K82" s="154">
        <f t="shared" si="15"/>
      </c>
    </row>
    <row r="83" spans="1:11" ht="15" customHeight="1">
      <c r="A83" s="113">
        <f t="shared" si="14"/>
      </c>
      <c r="B83" s="106"/>
      <c r="C83" s="107">
        <f t="shared" si="16"/>
      </c>
      <c r="D83" s="37">
        <f t="shared" si="17"/>
      </c>
      <c r="E83" s="37">
        <f t="shared" si="18"/>
      </c>
      <c r="F83" s="38">
        <f t="shared" si="19"/>
      </c>
      <c r="G83" s="38">
        <f t="shared" si="20"/>
      </c>
      <c r="H83" s="38">
        <f t="shared" si="21"/>
      </c>
      <c r="I83" s="105"/>
      <c r="J83" s="117"/>
      <c r="K83" s="154">
        <f t="shared" si="15"/>
      </c>
    </row>
    <row r="84" spans="1:11" ht="15" customHeight="1">
      <c r="A84" s="113">
        <f t="shared" si="14"/>
      </c>
      <c r="B84" s="106"/>
      <c r="C84" s="107">
        <f t="shared" si="16"/>
      </c>
      <c r="D84" s="37">
        <f t="shared" si="17"/>
      </c>
      <c r="E84" s="37">
        <f t="shared" si="18"/>
      </c>
      <c r="F84" s="38">
        <f t="shared" si="19"/>
      </c>
      <c r="G84" s="38">
        <f t="shared" si="20"/>
      </c>
      <c r="H84" s="38">
        <f t="shared" si="21"/>
      </c>
      <c r="I84" s="105"/>
      <c r="J84" s="117"/>
      <c r="K84" s="154">
        <f t="shared" si="15"/>
      </c>
    </row>
    <row r="85" spans="1:11" ht="15" customHeight="1">
      <c r="A85" s="113">
        <f t="shared" si="14"/>
      </c>
      <c r="B85" s="106"/>
      <c r="C85" s="107">
        <f t="shared" si="16"/>
      </c>
      <c r="D85" s="37">
        <f t="shared" si="17"/>
      </c>
      <c r="E85" s="37">
        <f t="shared" si="18"/>
      </c>
      <c r="F85" s="38">
        <f t="shared" si="19"/>
      </c>
      <c r="G85" s="38">
        <f t="shared" si="20"/>
      </c>
      <c r="H85" s="38">
        <f t="shared" si="21"/>
      </c>
      <c r="I85" s="105"/>
      <c r="J85" s="117"/>
      <c r="K85" s="154">
        <f t="shared" si="15"/>
      </c>
    </row>
    <row r="86" spans="1:11" ht="15" customHeight="1">
      <c r="A86" s="113">
        <f t="shared" si="14"/>
      </c>
      <c r="B86" s="106"/>
      <c r="C86" s="107">
        <f t="shared" si="16"/>
      </c>
      <c r="D86" s="37">
        <f t="shared" si="17"/>
      </c>
      <c r="E86" s="37">
        <f t="shared" si="18"/>
      </c>
      <c r="F86" s="38">
        <f t="shared" si="19"/>
      </c>
      <c r="G86" s="38">
        <f t="shared" si="20"/>
      </c>
      <c r="H86" s="38">
        <f t="shared" si="21"/>
      </c>
      <c r="I86" s="105"/>
      <c r="J86" s="117"/>
      <c r="K86" s="154">
        <f t="shared" si="15"/>
      </c>
    </row>
    <row r="87" spans="1:11" ht="15" customHeight="1">
      <c r="A87" s="113">
        <f t="shared" si="14"/>
      </c>
      <c r="B87" s="106"/>
      <c r="C87" s="107">
        <f t="shared" si="16"/>
      </c>
      <c r="D87" s="37">
        <f t="shared" si="17"/>
      </c>
      <c r="E87" s="37">
        <f t="shared" si="18"/>
      </c>
      <c r="F87" s="38">
        <f t="shared" si="19"/>
      </c>
      <c r="G87" s="38">
        <f t="shared" si="20"/>
      </c>
      <c r="H87" s="38">
        <f t="shared" si="21"/>
      </c>
      <c r="I87" s="105"/>
      <c r="J87" s="117"/>
      <c r="K87" s="154">
        <f t="shared" si="15"/>
      </c>
    </row>
    <row r="88" spans="1:11" ht="15" customHeight="1">
      <c r="A88" s="113">
        <f t="shared" si="14"/>
      </c>
      <c r="B88" s="106"/>
      <c r="C88" s="107">
        <f t="shared" si="16"/>
      </c>
      <c r="D88" s="37">
        <f t="shared" si="17"/>
      </c>
      <c r="E88" s="37">
        <f t="shared" si="18"/>
      </c>
      <c r="F88" s="38">
        <f t="shared" si="19"/>
      </c>
      <c r="G88" s="38">
        <f t="shared" si="20"/>
      </c>
      <c r="H88" s="38">
        <f t="shared" si="21"/>
      </c>
      <c r="I88" s="105"/>
      <c r="J88" s="117"/>
      <c r="K88" s="154">
        <f t="shared" si="15"/>
      </c>
    </row>
    <row r="89" spans="1:11" ht="15" customHeight="1">
      <c r="A89" s="113">
        <f t="shared" si="14"/>
      </c>
      <c r="B89" s="106"/>
      <c r="C89" s="107">
        <f t="shared" si="16"/>
      </c>
      <c r="D89" s="37">
        <f t="shared" si="17"/>
      </c>
      <c r="E89" s="37">
        <f t="shared" si="18"/>
      </c>
      <c r="F89" s="38">
        <f t="shared" si="19"/>
      </c>
      <c r="G89" s="38">
        <f t="shared" si="20"/>
      </c>
      <c r="H89" s="38">
        <f t="shared" si="21"/>
      </c>
      <c r="I89" s="105"/>
      <c r="J89" s="117"/>
      <c r="K89" s="154">
        <f t="shared" si="15"/>
      </c>
    </row>
    <row r="90" spans="1:11" ht="15" customHeight="1">
      <c r="A90" s="113">
        <f t="shared" si="14"/>
      </c>
      <c r="B90" s="106"/>
      <c r="C90" s="107">
        <f t="shared" si="16"/>
      </c>
      <c r="D90" s="37">
        <f t="shared" si="17"/>
      </c>
      <c r="E90" s="37">
        <f t="shared" si="18"/>
      </c>
      <c r="F90" s="38">
        <f t="shared" si="19"/>
      </c>
      <c r="G90" s="38">
        <f t="shared" si="20"/>
      </c>
      <c r="H90" s="38">
        <f t="shared" si="21"/>
      </c>
      <c r="I90" s="105"/>
      <c r="J90" s="117"/>
      <c r="K90" s="154">
        <f t="shared" si="15"/>
      </c>
    </row>
    <row r="91" spans="1:11" ht="15" customHeight="1">
      <c r="A91" s="113">
        <f t="shared" si="14"/>
      </c>
      <c r="B91" s="106"/>
      <c r="C91" s="107">
        <f t="shared" si="16"/>
      </c>
      <c r="D91" s="37">
        <f t="shared" si="17"/>
      </c>
      <c r="E91" s="37">
        <f t="shared" si="18"/>
      </c>
      <c r="F91" s="38">
        <f t="shared" si="19"/>
      </c>
      <c r="G91" s="38">
        <f t="shared" si="20"/>
      </c>
      <c r="H91" s="38">
        <f t="shared" si="21"/>
      </c>
      <c r="I91" s="105"/>
      <c r="J91" s="117"/>
      <c r="K91" s="154">
        <f t="shared" si="15"/>
      </c>
    </row>
    <row r="92" spans="1:11" ht="15" customHeight="1">
      <c r="A92" s="113">
        <f t="shared" si="14"/>
      </c>
      <c r="B92" s="106"/>
      <c r="C92" s="107">
        <f t="shared" si="16"/>
      </c>
      <c r="D92" s="37">
        <f t="shared" si="17"/>
      </c>
      <c r="E92" s="37">
        <f t="shared" si="18"/>
      </c>
      <c r="F92" s="38">
        <f t="shared" si="19"/>
      </c>
      <c r="G92" s="38">
        <f t="shared" si="20"/>
      </c>
      <c r="H92" s="38">
        <f t="shared" si="21"/>
      </c>
      <c r="I92" s="105"/>
      <c r="J92" s="117"/>
      <c r="K92" s="154">
        <f t="shared" si="15"/>
      </c>
    </row>
    <row r="93" spans="1:11" ht="15" customHeight="1">
      <c r="A93" s="113">
        <f t="shared" si="14"/>
      </c>
      <c r="B93" s="106"/>
      <c r="C93" s="107">
        <f t="shared" si="16"/>
      </c>
      <c r="D93" s="37">
        <f t="shared" si="17"/>
      </c>
      <c r="E93" s="37">
        <f t="shared" si="18"/>
      </c>
      <c r="F93" s="38">
        <f t="shared" si="19"/>
      </c>
      <c r="G93" s="38">
        <f t="shared" si="20"/>
      </c>
      <c r="H93" s="38">
        <f t="shared" si="21"/>
      </c>
      <c r="I93" s="105"/>
      <c r="J93" s="117"/>
      <c r="K93" s="154">
        <f t="shared" si="15"/>
      </c>
    </row>
    <row r="94" spans="1:11" ht="15" customHeight="1">
      <c r="A94" s="113">
        <f t="shared" si="14"/>
      </c>
      <c r="B94" s="106"/>
      <c r="C94" s="107">
        <f t="shared" si="16"/>
      </c>
      <c r="D94" s="37">
        <f t="shared" si="17"/>
      </c>
      <c r="E94" s="37">
        <f t="shared" si="18"/>
      </c>
      <c r="F94" s="38">
        <f t="shared" si="19"/>
      </c>
      <c r="G94" s="38">
        <f t="shared" si="20"/>
      </c>
      <c r="H94" s="38">
        <f t="shared" si="21"/>
      </c>
      <c r="I94" s="105"/>
      <c r="J94" s="117"/>
      <c r="K94" s="154">
        <f t="shared" si="15"/>
      </c>
    </row>
    <row r="95" spans="1:11" ht="15" customHeight="1">
      <c r="A95" s="113">
        <f t="shared" si="14"/>
      </c>
      <c r="B95" s="106"/>
      <c r="C95" s="107">
        <f t="shared" si="16"/>
      </c>
      <c r="D95" s="37">
        <f t="shared" si="17"/>
      </c>
      <c r="E95" s="37">
        <f t="shared" si="18"/>
      </c>
      <c r="F95" s="38">
        <f t="shared" si="19"/>
      </c>
      <c r="G95" s="38">
        <f t="shared" si="20"/>
      </c>
      <c r="H95" s="38">
        <f t="shared" si="21"/>
      </c>
      <c r="I95" s="105"/>
      <c r="J95" s="117"/>
      <c r="K95" s="154">
        <f t="shared" si="15"/>
      </c>
    </row>
    <row r="96" spans="1:11" ht="15" customHeight="1">
      <c r="A96" s="113">
        <f t="shared" si="14"/>
      </c>
      <c r="B96" s="106"/>
      <c r="C96" s="107">
        <f t="shared" si="16"/>
      </c>
      <c r="D96" s="37">
        <f t="shared" si="17"/>
      </c>
      <c r="E96" s="37">
        <f t="shared" si="18"/>
      </c>
      <c r="F96" s="38">
        <f t="shared" si="19"/>
      </c>
      <c r="G96" s="38">
        <f t="shared" si="20"/>
      </c>
      <c r="H96" s="38">
        <f t="shared" si="21"/>
      </c>
      <c r="I96" s="105"/>
      <c r="J96" s="117"/>
      <c r="K96" s="154">
        <f t="shared" si="15"/>
      </c>
    </row>
    <row r="97" spans="1:11" ht="15" customHeight="1">
      <c r="A97" s="113">
        <f t="shared" si="14"/>
      </c>
      <c r="B97" s="106"/>
      <c r="C97" s="107">
        <f t="shared" si="16"/>
      </c>
      <c r="D97" s="37">
        <f t="shared" si="17"/>
      </c>
      <c r="E97" s="37">
        <f t="shared" si="18"/>
      </c>
      <c r="F97" s="38">
        <f t="shared" si="19"/>
      </c>
      <c r="G97" s="38">
        <f t="shared" si="20"/>
      </c>
      <c r="H97" s="38">
        <f t="shared" si="21"/>
      </c>
      <c r="I97" s="105"/>
      <c r="J97" s="117"/>
      <c r="K97" s="154">
        <f t="shared" si="15"/>
      </c>
    </row>
    <row r="98" spans="1:11" ht="15" customHeight="1">
      <c r="A98" s="113">
        <f t="shared" si="14"/>
      </c>
      <c r="B98" s="106"/>
      <c r="C98" s="107">
        <f t="shared" si="16"/>
      </c>
      <c r="D98" s="37">
        <f t="shared" si="17"/>
      </c>
      <c r="E98" s="37">
        <f t="shared" si="18"/>
      </c>
      <c r="F98" s="38">
        <f t="shared" si="19"/>
      </c>
      <c r="G98" s="38">
        <f t="shared" si="20"/>
      </c>
      <c r="H98" s="38">
        <f t="shared" si="21"/>
      </c>
      <c r="I98" s="105"/>
      <c r="J98" s="117"/>
      <c r="K98" s="154">
        <f t="shared" si="15"/>
      </c>
    </row>
    <row r="99" spans="1:11" ht="15" customHeight="1">
      <c r="A99" s="113">
        <f t="shared" si="14"/>
      </c>
      <c r="B99" s="106"/>
      <c r="C99" s="107">
        <f t="shared" si="16"/>
      </c>
      <c r="D99" s="37">
        <f t="shared" si="17"/>
      </c>
      <c r="E99" s="37">
        <f t="shared" si="18"/>
      </c>
      <c r="F99" s="38">
        <f t="shared" si="19"/>
      </c>
      <c r="G99" s="38">
        <f t="shared" si="20"/>
      </c>
      <c r="H99" s="38">
        <f t="shared" si="21"/>
      </c>
      <c r="I99" s="105"/>
      <c r="J99" s="117"/>
      <c r="K99" s="154">
        <f t="shared" si="15"/>
      </c>
    </row>
    <row r="100" spans="1:11" ht="15" customHeight="1">
      <c r="A100" s="113">
        <f t="shared" si="14"/>
      </c>
      <c r="B100" s="106"/>
      <c r="C100" s="107">
        <f t="shared" si="16"/>
      </c>
      <c r="D100" s="37">
        <f t="shared" si="17"/>
      </c>
      <c r="E100" s="37">
        <f t="shared" si="18"/>
      </c>
      <c r="F100" s="38">
        <f t="shared" si="19"/>
      </c>
      <c r="G100" s="38">
        <f t="shared" si="20"/>
      </c>
      <c r="H100" s="38">
        <f t="shared" si="21"/>
      </c>
      <c r="I100" s="105"/>
      <c r="J100" s="117"/>
      <c r="K100" s="154">
        <f t="shared" si="15"/>
      </c>
    </row>
    <row r="101" spans="1:11" ht="15" customHeight="1">
      <c r="A101" s="113">
        <f t="shared" si="14"/>
      </c>
      <c r="B101" s="106"/>
      <c r="C101" s="107">
        <f>IF(ISBLANK(B101),"",VLOOKUP(B101,Starter_Feld,2,FALSE))</f>
      </c>
      <c r="D101" s="37">
        <f t="shared" si="17"/>
      </c>
      <c r="E101" s="37">
        <f t="shared" si="18"/>
      </c>
      <c r="F101" s="38">
        <f t="shared" si="19"/>
      </c>
      <c r="G101" s="38">
        <f t="shared" si="20"/>
      </c>
      <c r="H101" s="38">
        <f t="shared" si="21"/>
      </c>
      <c r="I101" s="105"/>
      <c r="J101" s="117"/>
      <c r="K101" s="154">
        <f t="shared" si="15"/>
      </c>
    </row>
    <row r="102" spans="1:11" ht="15" customHeight="1">
      <c r="A102" s="113">
        <f t="shared" si="14"/>
      </c>
      <c r="B102" s="106"/>
      <c r="C102" s="107">
        <f>IF(ISBLANK(B102),"",VLOOKUP(B102,Starter_Feld,2,FALSE))</f>
      </c>
      <c r="D102" s="37">
        <f t="shared" si="17"/>
      </c>
      <c r="E102" s="37">
        <f t="shared" si="18"/>
      </c>
      <c r="F102" s="38">
        <f t="shared" si="19"/>
      </c>
      <c r="G102" s="38">
        <f t="shared" si="20"/>
      </c>
      <c r="H102" s="38">
        <f t="shared" si="21"/>
      </c>
      <c r="I102" s="105"/>
      <c r="J102" s="117"/>
      <c r="K102" s="154">
        <f t="shared" si="15"/>
      </c>
    </row>
  </sheetData>
  <sheetProtection/>
  <conditionalFormatting sqref="D5:D102">
    <cfRule type="expression" priority="1" dxfId="3" stopIfTrue="1">
      <formula>G5+H5=2</formula>
    </cfRule>
    <cfRule type="expression" priority="2" dxfId="2" stopIfTrue="1">
      <formula>G5=1</formula>
    </cfRule>
    <cfRule type="expression" priority="3" dxfId="1" stopIfTrue="1">
      <formula>H5=1</formula>
    </cfRule>
  </conditionalFormatting>
  <conditionalFormatting sqref="C5:C102">
    <cfRule type="cellIs" priority="4" dxfId="12" operator="equal" stopIfTrue="1">
      <formula>0</formula>
    </cfRule>
  </conditionalFormatting>
  <conditionalFormatting sqref="E5:F102">
    <cfRule type="cellIs" priority="5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2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63</v>
      </c>
      <c r="B2" s="50"/>
      <c r="C2" s="60"/>
      <c r="E2" s="50">
        <f>MAX(A5:A34)</f>
        <v>0</v>
      </c>
      <c r="F2" s="51" t="s">
        <v>0</v>
      </c>
      <c r="G2" s="99" t="str">
        <f>IF(ISBLANK(F2),"",VLOOKUP(F2,'Veranst.'!A:C,3,FALSE))</f>
        <v>49. Automobilslalom, MSC Jura 9.7.2016</v>
      </c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</c>
      <c r="B5" s="35">
        <f aca="true" t="shared" si="0" ref="B5:B34">IF(ISBLANK(C5),"",IF(A5&lt;=Gold_HM,Goldplakette,IF(A5&lt;=Silber_HM,Silberplakette,IF(A5&lt;=Bronze_HM,Bronzeplakette,Erinnerung))))</f>
      </c>
      <c r="C5" s="56"/>
      <c r="D5" s="36">
        <f aca="true" t="shared" si="1" ref="D5:D34">IF(ISBLANK(C5),"",VLOOKUP(C5,Starter_Feld,2,FALSE))</f>
      </c>
      <c r="E5" s="37">
        <f aca="true" t="shared" si="2" ref="E5:E34">IF(ISBLANK(C5),"",VLOOKUP(C5,Starter_Feld,3,FALSE))</f>
      </c>
      <c r="F5" s="38">
        <f aca="true" t="shared" si="3" ref="F5:F34">IF(ISBLANK(C5),"",VLOOKUP(C5,Starter_Feld,4,FALSE))</f>
      </c>
      <c r="G5" s="39">
        <f aca="true" t="shared" si="4" ref="G5:G34">IF(ISBLANK(C5),"",VLOOKUP(C5,Starter_Feld,5,FALSE))</f>
      </c>
      <c r="H5" s="38">
        <f aca="true" t="shared" si="5" ref="H5:H34">IF(ISBLANK(C5),"",VLOOKUP(C5,Starter_Feld,7,FALSE))</f>
      </c>
      <c r="I5" s="136">
        <f aca="true" t="shared" si="6" ref="I5:I34">IF(ISBLANK(C5),"",VLOOKUP(C5,Starter_Feld,8,FALSE))</f>
      </c>
      <c r="J5" s="67"/>
      <c r="K5" s="68"/>
      <c r="L5" s="41">
        <f aca="true" t="shared" si="7" ref="L5:L34">SUM(0.000011575*K5)</f>
        <v>0</v>
      </c>
      <c r="M5" s="41">
        <f aca="true" t="shared" si="8" ref="M5:M34">SUM(J5,L5)</f>
        <v>0</v>
      </c>
      <c r="N5" s="88">
        <f aca="true" t="shared" si="9" ref="N5:N34">IF(J5&lt;&gt;0,M5,"")</f>
      </c>
      <c r="O5" s="71"/>
      <c r="P5" s="72"/>
      <c r="Q5" s="41">
        <f aca="true" t="shared" si="10" ref="Q5:Q34">SUM(0.000011575*P5)</f>
        <v>0</v>
      </c>
      <c r="R5" s="41">
        <f aca="true" t="shared" si="11" ref="R5:R34">SUM(O5,Q5)</f>
        <v>0</v>
      </c>
      <c r="S5" s="81">
        <f aca="true" t="shared" si="12" ref="S5:S34">IF(O5&lt;&gt;0,R5,"")</f>
      </c>
      <c r="T5" s="82">
        <f aca="true" t="shared" si="13" ref="T5:T34">MIN(N5,S5)</f>
        <v>0</v>
      </c>
      <c r="U5" s="83">
        <f aca="true" t="shared" si="14" ref="U5:U34">IF(O5=0,"",T5)</f>
      </c>
      <c r="V5" s="84" t="e">
        <f aca="true" t="shared" si="15" ref="V5:V34">23-(20*(A5))/E$2</f>
        <v>#VALUE!</v>
      </c>
      <c r="W5" s="138">
        <f aca="true" t="shared" si="16" ref="W5:W34">IF(O5=0,"",V5)</f>
      </c>
      <c r="X5" s="1"/>
    </row>
    <row r="6" spans="1:24" s="33" customFormat="1" ht="15" customHeight="1">
      <c r="A6" s="45">
        <f aca="true" t="shared" si="17" ref="A6:A33">IF(ISBLANK(C6),"",A5+1)</f>
      </c>
      <c r="B6" s="40">
        <f t="shared" si="0"/>
      </c>
      <c r="C6" s="57"/>
      <c r="D6" s="36">
        <f t="shared" si="1"/>
      </c>
      <c r="E6" s="37">
        <f t="shared" si="2"/>
      </c>
      <c r="F6" s="38">
        <f t="shared" si="3"/>
      </c>
      <c r="G6" s="39">
        <f t="shared" si="4"/>
      </c>
      <c r="H6" s="38">
        <f t="shared" si="5"/>
      </c>
      <c r="I6" s="137">
        <f t="shared" si="6"/>
      </c>
      <c r="J6" s="69"/>
      <c r="K6" s="70"/>
      <c r="L6" s="42">
        <f t="shared" si="7"/>
        <v>0</v>
      </c>
      <c r="M6" s="42">
        <f t="shared" si="8"/>
        <v>0</v>
      </c>
      <c r="N6" s="89">
        <f t="shared" si="9"/>
      </c>
      <c r="O6" s="73"/>
      <c r="P6" s="74"/>
      <c r="Q6" s="42">
        <f t="shared" si="10"/>
        <v>0</v>
      </c>
      <c r="R6" s="42">
        <f t="shared" si="11"/>
        <v>0</v>
      </c>
      <c r="S6" s="85">
        <f t="shared" si="12"/>
      </c>
      <c r="T6" s="82">
        <f t="shared" si="13"/>
        <v>0</v>
      </c>
      <c r="U6" s="86">
        <f t="shared" si="14"/>
      </c>
      <c r="V6" s="84" t="e">
        <f t="shared" si="15"/>
        <v>#VALUE!</v>
      </c>
      <c r="W6" s="139">
        <f t="shared" si="16"/>
      </c>
      <c r="X6" s="1"/>
    </row>
    <row r="7" spans="1:24" s="33" customFormat="1" ht="15" customHeight="1">
      <c r="A7" s="45">
        <f t="shared" si="17"/>
      </c>
      <c r="B7" s="40">
        <f t="shared" si="0"/>
      </c>
      <c r="C7" s="57"/>
      <c r="D7" s="36">
        <f t="shared" si="1"/>
      </c>
      <c r="E7" s="37">
        <f t="shared" si="2"/>
      </c>
      <c r="F7" s="38">
        <f t="shared" si="3"/>
      </c>
      <c r="G7" s="39">
        <f t="shared" si="4"/>
      </c>
      <c r="H7" s="38">
        <f t="shared" si="5"/>
      </c>
      <c r="I7" s="137">
        <f t="shared" si="6"/>
      </c>
      <c r="J7" s="69"/>
      <c r="K7" s="70"/>
      <c r="L7" s="42">
        <f t="shared" si="7"/>
        <v>0</v>
      </c>
      <c r="M7" s="42">
        <f t="shared" si="8"/>
        <v>0</v>
      </c>
      <c r="N7" s="89">
        <f t="shared" si="9"/>
      </c>
      <c r="O7" s="73"/>
      <c r="P7" s="74"/>
      <c r="Q7" s="42">
        <f t="shared" si="10"/>
        <v>0</v>
      </c>
      <c r="R7" s="42">
        <f t="shared" si="11"/>
        <v>0</v>
      </c>
      <c r="S7" s="85">
        <f t="shared" si="12"/>
      </c>
      <c r="T7" s="82">
        <f t="shared" si="13"/>
        <v>0</v>
      </c>
      <c r="U7" s="86">
        <f t="shared" si="14"/>
      </c>
      <c r="V7" s="84" t="e">
        <f t="shared" si="15"/>
        <v>#VALUE!</v>
      </c>
      <c r="W7" s="139">
        <f t="shared" si="16"/>
      </c>
      <c r="X7" s="1"/>
    </row>
    <row r="8" spans="1:24" s="33" customFormat="1" ht="15" customHeight="1">
      <c r="A8" s="45">
        <f t="shared" si="17"/>
      </c>
      <c r="B8" s="40">
        <f t="shared" si="0"/>
      </c>
      <c r="C8" s="57"/>
      <c r="D8" s="36">
        <f t="shared" si="1"/>
      </c>
      <c r="E8" s="37">
        <f t="shared" si="2"/>
      </c>
      <c r="F8" s="38">
        <f t="shared" si="3"/>
      </c>
      <c r="G8" s="39">
        <f t="shared" si="4"/>
      </c>
      <c r="H8" s="38">
        <f t="shared" si="5"/>
      </c>
      <c r="I8" s="137">
        <f t="shared" si="6"/>
      </c>
      <c r="J8" s="69"/>
      <c r="K8" s="70"/>
      <c r="L8" s="42">
        <f t="shared" si="7"/>
        <v>0</v>
      </c>
      <c r="M8" s="42">
        <f t="shared" si="8"/>
        <v>0</v>
      </c>
      <c r="N8" s="89">
        <f t="shared" si="9"/>
      </c>
      <c r="O8" s="73"/>
      <c r="P8" s="74"/>
      <c r="Q8" s="42">
        <f t="shared" si="10"/>
        <v>0</v>
      </c>
      <c r="R8" s="42">
        <f t="shared" si="11"/>
        <v>0</v>
      </c>
      <c r="S8" s="85">
        <f t="shared" si="12"/>
      </c>
      <c r="T8" s="82">
        <f t="shared" si="13"/>
        <v>0</v>
      </c>
      <c r="U8" s="86">
        <f t="shared" si="14"/>
      </c>
      <c r="V8" s="84" t="e">
        <f t="shared" si="15"/>
        <v>#VALUE!</v>
      </c>
      <c r="W8" s="139">
        <f t="shared" si="16"/>
      </c>
      <c r="X8" s="1"/>
    </row>
    <row r="9" spans="1:24" s="33" customFormat="1" ht="15" customHeight="1">
      <c r="A9" s="45">
        <f t="shared" si="17"/>
      </c>
      <c r="B9" s="40">
        <f t="shared" si="0"/>
      </c>
      <c r="C9" s="57"/>
      <c r="D9" s="36">
        <f t="shared" si="1"/>
      </c>
      <c r="E9" s="37">
        <f t="shared" si="2"/>
      </c>
      <c r="F9" s="38">
        <f t="shared" si="3"/>
      </c>
      <c r="G9" s="39">
        <f t="shared" si="4"/>
      </c>
      <c r="H9" s="38">
        <f t="shared" si="5"/>
      </c>
      <c r="I9" s="137">
        <f t="shared" si="6"/>
      </c>
      <c r="J9" s="69"/>
      <c r="K9" s="70"/>
      <c r="L9" s="42">
        <f t="shared" si="7"/>
        <v>0</v>
      </c>
      <c r="M9" s="42">
        <f t="shared" si="8"/>
        <v>0</v>
      </c>
      <c r="N9" s="89">
        <f t="shared" si="9"/>
      </c>
      <c r="O9" s="73"/>
      <c r="P9" s="74"/>
      <c r="Q9" s="42">
        <f t="shared" si="10"/>
        <v>0</v>
      </c>
      <c r="R9" s="42">
        <f t="shared" si="11"/>
        <v>0</v>
      </c>
      <c r="S9" s="85">
        <f t="shared" si="12"/>
      </c>
      <c r="T9" s="82">
        <f t="shared" si="13"/>
        <v>0</v>
      </c>
      <c r="U9" s="86">
        <f t="shared" si="14"/>
      </c>
      <c r="V9" s="84" t="e">
        <f t="shared" si="15"/>
        <v>#VALUE!</v>
      </c>
      <c r="W9" s="139">
        <f t="shared" si="16"/>
      </c>
      <c r="X9" s="1"/>
    </row>
    <row r="10" spans="1:24" s="33" customFormat="1" ht="15" customHeight="1">
      <c r="A10" s="45">
        <f t="shared" si="17"/>
      </c>
      <c r="B10" s="40">
        <f t="shared" si="0"/>
      </c>
      <c r="C10" s="57"/>
      <c r="D10" s="36">
        <f t="shared" si="1"/>
      </c>
      <c r="E10" s="37">
        <f t="shared" si="2"/>
      </c>
      <c r="F10" s="38">
        <f t="shared" si="3"/>
      </c>
      <c r="G10" s="39">
        <f t="shared" si="4"/>
      </c>
      <c r="H10" s="38">
        <f t="shared" si="5"/>
      </c>
      <c r="I10" s="137">
        <f t="shared" si="6"/>
      </c>
      <c r="J10" s="69"/>
      <c r="K10" s="70"/>
      <c r="L10" s="42">
        <f t="shared" si="7"/>
        <v>0</v>
      </c>
      <c r="M10" s="42">
        <f t="shared" si="8"/>
        <v>0</v>
      </c>
      <c r="N10" s="89">
        <f t="shared" si="9"/>
      </c>
      <c r="O10" s="73"/>
      <c r="P10" s="74"/>
      <c r="Q10" s="42">
        <f t="shared" si="10"/>
        <v>0</v>
      </c>
      <c r="R10" s="42">
        <f t="shared" si="11"/>
        <v>0</v>
      </c>
      <c r="S10" s="85">
        <f t="shared" si="12"/>
      </c>
      <c r="T10" s="82">
        <f t="shared" si="13"/>
        <v>0</v>
      </c>
      <c r="U10" s="86">
        <f t="shared" si="14"/>
      </c>
      <c r="V10" s="84" t="e">
        <f t="shared" si="15"/>
        <v>#VALUE!</v>
      </c>
      <c r="W10" s="139">
        <f t="shared" si="16"/>
      </c>
      <c r="X10" s="1"/>
    </row>
    <row r="11" spans="1:24" s="33" customFormat="1" ht="15" customHeight="1">
      <c r="A11" s="45">
        <f t="shared" si="17"/>
      </c>
      <c r="B11" s="40">
        <f t="shared" si="0"/>
      </c>
      <c r="C11" s="57"/>
      <c r="D11" s="36">
        <f t="shared" si="1"/>
      </c>
      <c r="E11" s="37">
        <f t="shared" si="2"/>
      </c>
      <c r="F11" s="38">
        <f t="shared" si="3"/>
      </c>
      <c r="G11" s="39">
        <f t="shared" si="4"/>
      </c>
      <c r="H11" s="38">
        <f t="shared" si="5"/>
      </c>
      <c r="I11" s="137">
        <f t="shared" si="6"/>
      </c>
      <c r="J11" s="69"/>
      <c r="K11" s="70"/>
      <c r="L11" s="42">
        <f t="shared" si="7"/>
        <v>0</v>
      </c>
      <c r="M11" s="42">
        <f t="shared" si="8"/>
        <v>0</v>
      </c>
      <c r="N11" s="89">
        <f t="shared" si="9"/>
      </c>
      <c r="O11" s="73"/>
      <c r="P11" s="74"/>
      <c r="Q11" s="42">
        <f t="shared" si="10"/>
        <v>0</v>
      </c>
      <c r="R11" s="42">
        <f t="shared" si="11"/>
        <v>0</v>
      </c>
      <c r="S11" s="85">
        <f t="shared" si="12"/>
      </c>
      <c r="T11" s="82">
        <f t="shared" si="13"/>
        <v>0</v>
      </c>
      <c r="U11" s="86">
        <f t="shared" si="14"/>
      </c>
      <c r="V11" s="84" t="e">
        <f t="shared" si="15"/>
        <v>#VALUE!</v>
      </c>
      <c r="W11" s="139">
        <f t="shared" si="16"/>
      </c>
      <c r="X11" s="1"/>
    </row>
    <row r="12" spans="1:24" s="33" customFormat="1" ht="15" customHeight="1">
      <c r="A12" s="45">
        <f t="shared" si="17"/>
      </c>
      <c r="B12" s="40">
        <f t="shared" si="0"/>
      </c>
      <c r="C12" s="57"/>
      <c r="D12" s="36">
        <f t="shared" si="1"/>
      </c>
      <c r="E12" s="37">
        <f t="shared" si="2"/>
      </c>
      <c r="F12" s="38">
        <f t="shared" si="3"/>
      </c>
      <c r="G12" s="39">
        <f t="shared" si="4"/>
      </c>
      <c r="H12" s="38">
        <f t="shared" si="5"/>
      </c>
      <c r="I12" s="137">
        <f t="shared" si="6"/>
      </c>
      <c r="J12" s="141"/>
      <c r="K12" s="70"/>
      <c r="L12" s="42">
        <f t="shared" si="7"/>
        <v>0</v>
      </c>
      <c r="M12" s="42">
        <f t="shared" si="8"/>
        <v>0</v>
      </c>
      <c r="N12" s="89">
        <f t="shared" si="9"/>
      </c>
      <c r="O12" s="73"/>
      <c r="P12" s="74"/>
      <c r="Q12" s="42">
        <f t="shared" si="10"/>
        <v>0</v>
      </c>
      <c r="R12" s="42">
        <f t="shared" si="11"/>
        <v>0</v>
      </c>
      <c r="S12" s="85">
        <f t="shared" si="12"/>
      </c>
      <c r="T12" s="82">
        <f t="shared" si="13"/>
        <v>0</v>
      </c>
      <c r="U12" s="86">
        <f t="shared" si="14"/>
      </c>
      <c r="V12" s="84" t="e">
        <f t="shared" si="15"/>
        <v>#VALUE!</v>
      </c>
      <c r="W12" s="139">
        <f t="shared" si="16"/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E5:E34">
    <cfRule type="expression" priority="1" dxfId="3" stopIfTrue="1">
      <formula>I5+H5=2</formula>
    </cfRule>
    <cfRule type="expression" priority="2" dxfId="9" stopIfTrue="1">
      <formula>H5=1</formula>
    </cfRule>
    <cfRule type="expression" priority="3" dxfId="1" stopIfTrue="1">
      <formula>I5=1</formula>
    </cfRule>
  </conditionalFormatting>
  <conditionalFormatting sqref="B5:B34">
    <cfRule type="cellIs" priority="4" dxfId="7" operator="equal" stopIfTrue="1">
      <formula>Goldplakette</formula>
    </cfRule>
    <cfRule type="cellIs" priority="5" dxfId="6" operator="equal" stopIfTrue="1">
      <formula>Silberplakette</formula>
    </cfRule>
    <cfRule type="cellIs" priority="6" dxfId="5" operator="equal" stopIfTrue="1">
      <formula>Bronzeplakette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4"/>
  <dimension ref="A2:M5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6.28125" style="47" customWidth="1"/>
    <col min="2" max="2" width="6.421875" style="59" customWidth="1"/>
    <col min="3" max="3" width="9.7109375" style="0" customWidth="1"/>
    <col min="4" max="4" width="19.421875" style="0" customWidth="1"/>
    <col min="5" max="5" width="18.421875" style="0" customWidth="1"/>
    <col min="6" max="6" width="20.00390625" style="0" customWidth="1"/>
    <col min="7" max="8" width="10.7109375" style="0" hidden="1" customWidth="1"/>
    <col min="9" max="9" width="10.7109375" style="110" customWidth="1"/>
    <col min="10" max="10" width="10.7109375" style="143" hidden="1" customWidth="1"/>
    <col min="11" max="11" width="10.7109375" style="0" hidden="1" customWidth="1"/>
    <col min="12" max="12" width="10.7109375" style="0" customWidth="1"/>
  </cols>
  <sheetData>
    <row r="1" ht="15"/>
    <row r="2" ht="20.25">
      <c r="C2" s="102" t="str">
        <f>IF(ISBLANK(F4),"",VLOOKUP(F4,'Veranst.'!A:C,3,FALSE))</f>
        <v>49. Automobilslalom, MSC Jura 9.7.2016</v>
      </c>
    </row>
    <row r="3" spans="1:8" ht="15">
      <c r="A3" s="43"/>
      <c r="B3" s="58"/>
      <c r="C3" s="1"/>
      <c r="D3" s="2"/>
      <c r="E3" s="2"/>
      <c r="F3" s="2"/>
      <c r="G3" s="2"/>
      <c r="H3" s="2"/>
    </row>
    <row r="4" spans="1:8" ht="23.25">
      <c r="A4" s="49" t="s">
        <v>68</v>
      </c>
      <c r="B4" s="60"/>
      <c r="E4" s="146">
        <f>SUM(K7:K51)</f>
        <v>10</v>
      </c>
      <c r="F4" s="147" t="s">
        <v>0</v>
      </c>
      <c r="G4" s="99"/>
      <c r="H4" s="99"/>
    </row>
    <row r="5" spans="1:8" ht="15.75" thickBot="1">
      <c r="A5" s="43"/>
      <c r="B5" s="58"/>
      <c r="C5" s="1"/>
      <c r="D5" s="2"/>
      <c r="E5" s="2"/>
      <c r="F5" s="2"/>
      <c r="G5" s="2"/>
      <c r="H5" s="2"/>
    </row>
    <row r="6" spans="1:10" s="34" customFormat="1" ht="15" thickBot="1">
      <c r="A6" s="100" t="s">
        <v>1</v>
      </c>
      <c r="B6" s="61" t="s">
        <v>3</v>
      </c>
      <c r="C6" s="4" t="s">
        <v>4</v>
      </c>
      <c r="D6" s="5" t="s">
        <v>5</v>
      </c>
      <c r="E6" s="5" t="s">
        <v>6</v>
      </c>
      <c r="F6" s="6" t="s">
        <v>7</v>
      </c>
      <c r="G6" s="55" t="s">
        <v>62</v>
      </c>
      <c r="H6" s="55" t="s">
        <v>66</v>
      </c>
      <c r="I6" s="109" t="s">
        <v>61</v>
      </c>
      <c r="J6" s="145"/>
    </row>
    <row r="7" spans="1:11" s="33" customFormat="1" ht="15" customHeight="1">
      <c r="A7" s="112">
        <f>IF(ISBLANK(B7),"",1)</f>
        <v>1</v>
      </c>
      <c r="B7" s="56">
        <v>16</v>
      </c>
      <c r="C7" s="36">
        <f aca="true" t="shared" si="0" ref="C7:C51">IF(ISBLANK(B7),"",VLOOKUP(B7,Starter_Feld,2,FALSE))</f>
        <v>15531</v>
      </c>
      <c r="D7" s="37" t="str">
        <f aca="true" t="shared" si="1" ref="D7:D51">IF(ISBLANK(B7),"",VLOOKUP(B7,Starter_Feld,3,FALSE))</f>
        <v>Minuth, Franziska</v>
      </c>
      <c r="E7" s="38" t="str">
        <f aca="true" t="shared" si="2" ref="E7:E51">IF(ISBLANK(B7),"",VLOOKUP(B7,Starter_Feld,4,FALSE))</f>
        <v>Team Minuth Motorsport</v>
      </c>
      <c r="F7" s="39" t="str">
        <f aca="true" t="shared" si="3" ref="F7:F51">IF(ISBLANK(B7),"",VLOOKUP(B7,Starter_Feld,5,FALSE))</f>
        <v>Opel Kadett C Coupé</v>
      </c>
      <c r="G7" s="38">
        <f aca="true" t="shared" si="4" ref="G7:G51">IF(ISBLANK(B7),"",VLOOKUP(B7,Starter_Feld,7,FALSE))</f>
        <v>1</v>
      </c>
      <c r="H7" s="38">
        <f aca="true" t="shared" si="5" ref="H7:H51">IF(ISBLANK(B7),"",VLOOKUP(B7,Starter_Feld,8,FALSE))</f>
        <v>1</v>
      </c>
      <c r="I7" s="116">
        <v>15</v>
      </c>
      <c r="J7" s="144">
        <f>IF(ISBLANK(B7),"",1)</f>
        <v>1</v>
      </c>
      <c r="K7" s="33">
        <f>IF(ISBLANK(B7),"",1)</f>
        <v>1</v>
      </c>
    </row>
    <row r="8" spans="1:11" s="33" customFormat="1" ht="15" customHeight="1">
      <c r="A8" s="113">
        <f>IF(ISBLANK(B8),"",IF(I7=I8,A7,A7+1))</f>
        <v>2</v>
      </c>
      <c r="B8" s="57">
        <v>33</v>
      </c>
      <c r="C8" s="36">
        <f t="shared" si="0"/>
        <v>15370</v>
      </c>
      <c r="D8" s="37" t="str">
        <f t="shared" si="1"/>
        <v>Ehrngruber, René</v>
      </c>
      <c r="E8" s="38" t="str">
        <f t="shared" si="2"/>
        <v>MSC Jura</v>
      </c>
      <c r="F8" s="39" t="str">
        <f t="shared" si="3"/>
        <v>VW Polo</v>
      </c>
      <c r="G8" s="38">
        <f t="shared" si="4"/>
        <v>1</v>
      </c>
      <c r="H8" s="38">
        <f t="shared" si="5"/>
        <v>0</v>
      </c>
      <c r="I8" s="117">
        <v>13</v>
      </c>
      <c r="J8" s="144">
        <f>IF(ISBLANK(B8),"",J7+1)</f>
        <v>2</v>
      </c>
      <c r="K8" s="33">
        <f aca="true" t="shared" si="6" ref="K8:K51">IF(ISBLANK(B8),"",1)</f>
        <v>1</v>
      </c>
    </row>
    <row r="9" spans="1:11" s="33" customFormat="1" ht="15" customHeight="1">
      <c r="A9" s="113">
        <f>IF(ISBLANK(B9),"",IF(I8=I9,A8,A8+1))</f>
        <v>3</v>
      </c>
      <c r="B9" s="57">
        <v>306</v>
      </c>
      <c r="C9" s="36">
        <f t="shared" si="0"/>
        <v>15767</v>
      </c>
      <c r="D9" s="37" t="str">
        <f t="shared" si="1"/>
        <v>Gregor, Roland</v>
      </c>
      <c r="E9" s="38" t="str">
        <f t="shared" si="2"/>
        <v>RST Mittelfranken</v>
      </c>
      <c r="F9" s="39" t="str">
        <f t="shared" si="3"/>
        <v>Citroen AX</v>
      </c>
      <c r="G9" s="38">
        <f t="shared" si="4"/>
        <v>1</v>
      </c>
      <c r="H9" s="38">
        <f t="shared" si="5"/>
        <v>0</v>
      </c>
      <c r="I9" s="117">
        <v>10.5</v>
      </c>
      <c r="J9" s="144">
        <f aca="true" t="shared" si="7" ref="J9:J51">IF(ISBLANK(B9),"",J8+1)</f>
        <v>3</v>
      </c>
      <c r="K9" s="33">
        <f t="shared" si="6"/>
        <v>1</v>
      </c>
    </row>
    <row r="10" spans="1:11" s="33" customFormat="1" ht="15" customHeight="1">
      <c r="A10" s="113">
        <f>IF(ISBLANK(B10),"",IF(I9=I10,A9,A9+1))</f>
        <v>4</v>
      </c>
      <c r="B10" s="57">
        <v>55</v>
      </c>
      <c r="C10" s="36">
        <f t="shared" si="0"/>
        <v>15356</v>
      </c>
      <c r="D10" s="37" t="str">
        <f t="shared" si="1"/>
        <v>Heller, Barbara</v>
      </c>
      <c r="E10" s="38" t="str">
        <f t="shared" si="2"/>
        <v>ASC Ansbach</v>
      </c>
      <c r="F10" s="39" t="str">
        <f t="shared" si="3"/>
        <v>Daihatsu Cuore</v>
      </c>
      <c r="G10" s="38">
        <f t="shared" si="4"/>
        <v>1</v>
      </c>
      <c r="H10" s="38">
        <f t="shared" si="5"/>
        <v>1</v>
      </c>
      <c r="I10" s="117">
        <v>7</v>
      </c>
      <c r="J10" s="144">
        <f t="shared" si="7"/>
        <v>4</v>
      </c>
      <c r="K10" s="33">
        <f t="shared" si="6"/>
        <v>1</v>
      </c>
    </row>
    <row r="11" spans="1:11" s="33" customFormat="1" ht="15" customHeight="1">
      <c r="A11" s="113">
        <f aca="true" t="shared" si="8" ref="A11:A51">IF(ISBLANK(B11),"",IF(I10=I11,A10,A10+1))</f>
        <v>4</v>
      </c>
      <c r="B11" s="57">
        <v>169</v>
      </c>
      <c r="C11" s="36">
        <f t="shared" si="0"/>
        <v>13583</v>
      </c>
      <c r="D11" s="37" t="str">
        <f t="shared" si="1"/>
        <v>Reihs, Michael</v>
      </c>
      <c r="E11" s="38" t="str">
        <f t="shared" si="2"/>
        <v>MSC Bechhofen</v>
      </c>
      <c r="F11" s="39" t="str">
        <f t="shared" si="3"/>
        <v>Fiat Panda</v>
      </c>
      <c r="G11" s="38">
        <f t="shared" si="4"/>
        <v>1</v>
      </c>
      <c r="H11" s="38">
        <f t="shared" si="5"/>
        <v>0</v>
      </c>
      <c r="I11" s="117">
        <v>7</v>
      </c>
      <c r="J11" s="144">
        <f t="shared" si="7"/>
        <v>5</v>
      </c>
      <c r="K11" s="33">
        <f t="shared" si="6"/>
        <v>1</v>
      </c>
    </row>
    <row r="12" spans="1:11" s="33" customFormat="1" ht="15" customHeight="1">
      <c r="A12" s="113">
        <f t="shared" si="8"/>
        <v>5</v>
      </c>
      <c r="B12" s="57">
        <v>320</v>
      </c>
      <c r="C12" s="36">
        <f t="shared" si="0"/>
        <v>15874</v>
      </c>
      <c r="D12" s="37" t="str">
        <f t="shared" si="1"/>
        <v>Schmidt, Carsten</v>
      </c>
      <c r="E12" s="38" t="str">
        <f t="shared" si="2"/>
        <v>MSC Berg</v>
      </c>
      <c r="F12" s="39" t="str">
        <f t="shared" si="3"/>
        <v>BMW E30</v>
      </c>
      <c r="G12" s="38">
        <f t="shared" si="4"/>
        <v>1</v>
      </c>
      <c r="H12" s="38">
        <f t="shared" si="5"/>
        <v>0</v>
      </c>
      <c r="I12" s="117">
        <v>6.636363636363637</v>
      </c>
      <c r="J12" s="144">
        <f t="shared" si="7"/>
        <v>6</v>
      </c>
      <c r="K12" s="33">
        <f t="shared" si="6"/>
        <v>1</v>
      </c>
    </row>
    <row r="13" spans="1:11" s="33" customFormat="1" ht="15" customHeight="1">
      <c r="A13" s="113">
        <f t="shared" si="8"/>
        <v>6</v>
      </c>
      <c r="B13" s="57">
        <v>339</v>
      </c>
      <c r="C13" s="36">
        <f t="shared" si="0"/>
        <v>0</v>
      </c>
      <c r="D13" s="37" t="str">
        <f t="shared" si="1"/>
        <v>Treiber, Timo</v>
      </c>
      <c r="E13" s="38">
        <f t="shared" si="2"/>
        <v>0</v>
      </c>
      <c r="F13" s="39" t="str">
        <f t="shared" si="3"/>
        <v>VW Polo</v>
      </c>
      <c r="G13" s="38">
        <f t="shared" si="4"/>
        <v>1</v>
      </c>
      <c r="H13" s="38">
        <f t="shared" si="5"/>
        <v>0</v>
      </c>
      <c r="I13" s="117">
        <v>5.5</v>
      </c>
      <c r="J13" s="144">
        <f t="shared" si="7"/>
        <v>7</v>
      </c>
      <c r="K13" s="33">
        <f t="shared" si="6"/>
        <v>1</v>
      </c>
    </row>
    <row r="14" spans="1:11" s="33" customFormat="1" ht="15" customHeight="1">
      <c r="A14" s="113">
        <f t="shared" si="8"/>
        <v>7</v>
      </c>
      <c r="B14" s="57">
        <v>498</v>
      </c>
      <c r="C14" s="36">
        <f t="shared" si="0"/>
        <v>0</v>
      </c>
      <c r="D14" s="37" t="str">
        <f t="shared" si="1"/>
        <v>Schwarz, Michael</v>
      </c>
      <c r="E14" s="38">
        <f t="shared" si="2"/>
        <v>0</v>
      </c>
      <c r="F14" s="39" t="str">
        <f t="shared" si="3"/>
        <v>Fiat 500 Abarth</v>
      </c>
      <c r="G14" s="38">
        <f t="shared" si="4"/>
        <v>1</v>
      </c>
      <c r="H14" s="38">
        <f t="shared" si="5"/>
        <v>0</v>
      </c>
      <c r="I14" s="117">
        <v>4.333333333333332</v>
      </c>
      <c r="J14" s="144">
        <f t="shared" si="7"/>
        <v>8</v>
      </c>
      <c r="K14" s="33">
        <f t="shared" si="6"/>
        <v>1</v>
      </c>
    </row>
    <row r="15" spans="1:11" s="33" customFormat="1" ht="15" customHeight="1">
      <c r="A15" s="113">
        <f t="shared" si="8"/>
        <v>8</v>
      </c>
      <c r="B15" s="57">
        <v>414</v>
      </c>
      <c r="C15" s="36">
        <f t="shared" si="0"/>
        <v>15894</v>
      </c>
      <c r="D15" s="37" t="str">
        <f t="shared" si="1"/>
        <v>Feder, Jasmin</v>
      </c>
      <c r="E15" s="38" t="str">
        <f t="shared" si="2"/>
        <v>RST Mittelfranken</v>
      </c>
      <c r="F15" s="39" t="str">
        <f t="shared" si="3"/>
        <v>VW Polo</v>
      </c>
      <c r="G15" s="38">
        <f t="shared" si="4"/>
        <v>1</v>
      </c>
      <c r="H15" s="38">
        <f t="shared" si="5"/>
        <v>1</v>
      </c>
      <c r="I15" s="117">
        <v>3</v>
      </c>
      <c r="J15" s="144">
        <f t="shared" si="7"/>
        <v>9</v>
      </c>
      <c r="K15" s="33">
        <f t="shared" si="6"/>
        <v>1</v>
      </c>
    </row>
    <row r="16" spans="1:11" s="33" customFormat="1" ht="15" customHeight="1">
      <c r="A16" s="113">
        <f t="shared" si="8"/>
        <v>8</v>
      </c>
      <c r="B16" s="57">
        <v>799</v>
      </c>
      <c r="C16" s="36">
        <f t="shared" si="0"/>
        <v>0</v>
      </c>
      <c r="D16" s="37" t="str">
        <f t="shared" si="1"/>
        <v>Wolf, Kevin</v>
      </c>
      <c r="E16" s="38">
        <f t="shared" si="2"/>
        <v>0</v>
      </c>
      <c r="F16" s="39" t="str">
        <f t="shared" si="3"/>
        <v>BMW E30 V8</v>
      </c>
      <c r="G16" s="38">
        <f t="shared" si="4"/>
        <v>1</v>
      </c>
      <c r="H16" s="38">
        <f t="shared" si="5"/>
        <v>0</v>
      </c>
      <c r="I16" s="117">
        <v>3</v>
      </c>
      <c r="J16" s="144">
        <f t="shared" si="7"/>
        <v>10</v>
      </c>
      <c r="K16" s="33">
        <f t="shared" si="6"/>
        <v>1</v>
      </c>
    </row>
    <row r="17" spans="1:11" s="33" customFormat="1" ht="15" customHeight="1">
      <c r="A17" s="113">
        <f t="shared" si="8"/>
      </c>
      <c r="B17" s="57"/>
      <c r="C17" s="36">
        <f t="shared" si="0"/>
      </c>
      <c r="D17" s="37">
        <f t="shared" si="1"/>
      </c>
      <c r="E17" s="38">
        <f t="shared" si="2"/>
      </c>
      <c r="F17" s="39">
        <f t="shared" si="3"/>
      </c>
      <c r="G17" s="38">
        <f t="shared" si="4"/>
      </c>
      <c r="H17" s="38">
        <f t="shared" si="5"/>
      </c>
      <c r="I17" s="117"/>
      <c r="J17" s="144">
        <f t="shared" si="7"/>
      </c>
      <c r="K17" s="33">
        <f t="shared" si="6"/>
      </c>
    </row>
    <row r="18" spans="1:11" s="33" customFormat="1" ht="15" customHeight="1">
      <c r="A18" s="113">
        <f t="shared" si="8"/>
      </c>
      <c r="B18" s="57"/>
      <c r="C18" s="36">
        <f t="shared" si="0"/>
      </c>
      <c r="D18" s="37">
        <f t="shared" si="1"/>
      </c>
      <c r="E18" s="38">
        <f t="shared" si="2"/>
      </c>
      <c r="F18" s="39">
        <f t="shared" si="3"/>
      </c>
      <c r="G18" s="38">
        <f t="shared" si="4"/>
      </c>
      <c r="H18" s="38">
        <f t="shared" si="5"/>
      </c>
      <c r="I18" s="117"/>
      <c r="J18" s="144">
        <f t="shared" si="7"/>
      </c>
      <c r="K18" s="33">
        <f t="shared" si="6"/>
      </c>
    </row>
    <row r="19" spans="1:11" s="33" customFormat="1" ht="15" customHeight="1">
      <c r="A19" s="113">
        <f t="shared" si="8"/>
      </c>
      <c r="B19" s="57"/>
      <c r="C19" s="36">
        <f t="shared" si="0"/>
      </c>
      <c r="D19" s="37">
        <f t="shared" si="1"/>
      </c>
      <c r="E19" s="38">
        <f t="shared" si="2"/>
      </c>
      <c r="F19" s="39">
        <f t="shared" si="3"/>
      </c>
      <c r="G19" s="38">
        <f t="shared" si="4"/>
      </c>
      <c r="H19" s="38">
        <f t="shared" si="5"/>
      </c>
      <c r="I19" s="117"/>
      <c r="J19" s="144">
        <f t="shared" si="7"/>
      </c>
      <c r="K19" s="33">
        <f t="shared" si="6"/>
      </c>
    </row>
    <row r="20" spans="1:11" s="33" customFormat="1" ht="15" customHeight="1">
      <c r="A20" s="113">
        <f t="shared" si="8"/>
      </c>
      <c r="B20" s="57"/>
      <c r="C20" s="36">
        <f t="shared" si="0"/>
      </c>
      <c r="D20" s="37">
        <f t="shared" si="1"/>
      </c>
      <c r="E20" s="38">
        <f t="shared" si="2"/>
      </c>
      <c r="F20" s="39">
        <f t="shared" si="3"/>
      </c>
      <c r="G20" s="38">
        <f t="shared" si="4"/>
      </c>
      <c r="H20" s="38">
        <f t="shared" si="5"/>
      </c>
      <c r="I20" s="117"/>
      <c r="J20" s="144">
        <f t="shared" si="7"/>
      </c>
      <c r="K20" s="33">
        <f t="shared" si="6"/>
      </c>
    </row>
    <row r="21" spans="1:11" s="33" customFormat="1" ht="15" customHeight="1">
      <c r="A21" s="113">
        <f t="shared" si="8"/>
      </c>
      <c r="B21" s="57"/>
      <c r="C21" s="36">
        <f t="shared" si="0"/>
      </c>
      <c r="D21" s="37">
        <f t="shared" si="1"/>
      </c>
      <c r="E21" s="38">
        <f t="shared" si="2"/>
      </c>
      <c r="F21" s="39">
        <f t="shared" si="3"/>
      </c>
      <c r="G21" s="38">
        <f t="shared" si="4"/>
      </c>
      <c r="H21" s="38">
        <f t="shared" si="5"/>
      </c>
      <c r="I21" s="117"/>
      <c r="J21" s="144">
        <f t="shared" si="7"/>
      </c>
      <c r="K21" s="33">
        <f t="shared" si="6"/>
      </c>
    </row>
    <row r="22" spans="1:11" s="33" customFormat="1" ht="15" customHeight="1">
      <c r="A22" s="113">
        <f t="shared" si="8"/>
      </c>
      <c r="B22" s="57"/>
      <c r="C22" s="36">
        <f t="shared" si="0"/>
      </c>
      <c r="D22" s="37">
        <f t="shared" si="1"/>
      </c>
      <c r="E22" s="38">
        <f t="shared" si="2"/>
      </c>
      <c r="F22" s="39">
        <f t="shared" si="3"/>
      </c>
      <c r="G22" s="38">
        <f t="shared" si="4"/>
      </c>
      <c r="H22" s="38">
        <f t="shared" si="5"/>
      </c>
      <c r="I22" s="117"/>
      <c r="J22" s="144">
        <f t="shared" si="7"/>
      </c>
      <c r="K22" s="33">
        <f t="shared" si="6"/>
      </c>
    </row>
    <row r="23" spans="1:11" s="33" customFormat="1" ht="15" customHeight="1">
      <c r="A23" s="113">
        <f t="shared" si="8"/>
      </c>
      <c r="B23" s="57"/>
      <c r="C23" s="36">
        <f t="shared" si="0"/>
      </c>
      <c r="D23" s="37">
        <f t="shared" si="1"/>
      </c>
      <c r="E23" s="38">
        <f t="shared" si="2"/>
      </c>
      <c r="F23" s="39">
        <f t="shared" si="3"/>
      </c>
      <c r="G23" s="38">
        <f t="shared" si="4"/>
      </c>
      <c r="H23" s="38">
        <f t="shared" si="5"/>
      </c>
      <c r="I23" s="117"/>
      <c r="J23" s="144">
        <f t="shared" si="7"/>
      </c>
      <c r="K23" s="33">
        <f t="shared" si="6"/>
      </c>
    </row>
    <row r="24" spans="1:13" s="33" customFormat="1" ht="15" customHeight="1">
      <c r="A24" s="113">
        <f t="shared" si="8"/>
      </c>
      <c r="B24" s="57"/>
      <c r="C24" s="36">
        <f t="shared" si="0"/>
      </c>
      <c r="D24" s="37">
        <f t="shared" si="1"/>
      </c>
      <c r="E24" s="38">
        <f t="shared" si="2"/>
      </c>
      <c r="F24" s="39">
        <f t="shared" si="3"/>
      </c>
      <c r="G24" s="38">
        <f t="shared" si="4"/>
      </c>
      <c r="H24" s="38">
        <f t="shared" si="5"/>
      </c>
      <c r="I24" s="117"/>
      <c r="J24" s="144">
        <f t="shared" si="7"/>
      </c>
      <c r="K24" s="33">
        <f t="shared" si="6"/>
      </c>
      <c r="M24" s="114" t="str">
        <f>IF(Teilnehmer!G1=Nachwuchswertung!E4,"","Fehler bei Anzahl!")</f>
        <v>Fehler bei Anzahl!</v>
      </c>
    </row>
    <row r="25" spans="1:11" s="33" customFormat="1" ht="15" customHeight="1">
      <c r="A25" s="113">
        <f t="shared" si="8"/>
      </c>
      <c r="B25" s="57"/>
      <c r="C25" s="36">
        <f t="shared" si="0"/>
      </c>
      <c r="D25" s="37">
        <f t="shared" si="1"/>
      </c>
      <c r="E25" s="38">
        <f t="shared" si="2"/>
      </c>
      <c r="F25" s="39">
        <f t="shared" si="3"/>
      </c>
      <c r="G25" s="38">
        <f t="shared" si="4"/>
      </c>
      <c r="H25" s="38">
        <f t="shared" si="5"/>
      </c>
      <c r="I25" s="117"/>
      <c r="J25" s="144">
        <f t="shared" si="7"/>
      </c>
      <c r="K25" s="33">
        <f t="shared" si="6"/>
      </c>
    </row>
    <row r="26" spans="1:11" s="33" customFormat="1" ht="15" customHeight="1">
      <c r="A26" s="113">
        <f t="shared" si="8"/>
      </c>
      <c r="B26" s="57"/>
      <c r="C26" s="36">
        <f t="shared" si="0"/>
      </c>
      <c r="D26" s="37">
        <f t="shared" si="1"/>
      </c>
      <c r="E26" s="38">
        <f t="shared" si="2"/>
      </c>
      <c r="F26" s="39">
        <f t="shared" si="3"/>
      </c>
      <c r="G26" s="38">
        <f t="shared" si="4"/>
      </c>
      <c r="H26" s="38">
        <f t="shared" si="5"/>
      </c>
      <c r="I26" s="117"/>
      <c r="J26" s="144">
        <f t="shared" si="7"/>
      </c>
      <c r="K26" s="33">
        <f t="shared" si="6"/>
      </c>
    </row>
    <row r="27" spans="1:11" s="33" customFormat="1" ht="15" customHeight="1">
      <c r="A27" s="113">
        <f t="shared" si="8"/>
      </c>
      <c r="B27" s="57"/>
      <c r="C27" s="36">
        <f t="shared" si="0"/>
      </c>
      <c r="D27" s="37">
        <f t="shared" si="1"/>
      </c>
      <c r="E27" s="38">
        <f t="shared" si="2"/>
      </c>
      <c r="F27" s="39">
        <f t="shared" si="3"/>
      </c>
      <c r="G27" s="38">
        <f t="shared" si="4"/>
      </c>
      <c r="H27" s="38">
        <f t="shared" si="5"/>
      </c>
      <c r="I27" s="117"/>
      <c r="J27" s="144">
        <f t="shared" si="7"/>
      </c>
      <c r="K27" s="33">
        <f t="shared" si="6"/>
      </c>
    </row>
    <row r="28" spans="1:11" s="33" customFormat="1" ht="15" customHeight="1">
      <c r="A28" s="113">
        <f t="shared" si="8"/>
      </c>
      <c r="B28" s="57"/>
      <c r="C28" s="36">
        <f t="shared" si="0"/>
      </c>
      <c r="D28" s="37">
        <f t="shared" si="1"/>
      </c>
      <c r="E28" s="38">
        <f t="shared" si="2"/>
      </c>
      <c r="F28" s="39">
        <f t="shared" si="3"/>
      </c>
      <c r="G28" s="38">
        <f t="shared" si="4"/>
      </c>
      <c r="H28" s="38">
        <f t="shared" si="5"/>
      </c>
      <c r="I28" s="117"/>
      <c r="J28" s="144">
        <f t="shared" si="7"/>
      </c>
      <c r="K28" s="33">
        <f t="shared" si="6"/>
      </c>
    </row>
    <row r="29" spans="1:11" s="33" customFormat="1" ht="15" customHeight="1">
      <c r="A29" s="113">
        <f t="shared" si="8"/>
      </c>
      <c r="B29" s="57"/>
      <c r="C29" s="36">
        <f t="shared" si="0"/>
      </c>
      <c r="D29" s="37">
        <f t="shared" si="1"/>
      </c>
      <c r="E29" s="38">
        <f t="shared" si="2"/>
      </c>
      <c r="F29" s="39">
        <f t="shared" si="3"/>
      </c>
      <c r="G29" s="38">
        <f t="shared" si="4"/>
      </c>
      <c r="H29" s="38">
        <f t="shared" si="5"/>
      </c>
      <c r="I29" s="117"/>
      <c r="J29" s="144">
        <f t="shared" si="7"/>
      </c>
      <c r="K29" s="33">
        <f t="shared" si="6"/>
      </c>
    </row>
    <row r="30" spans="1:11" s="33" customFormat="1" ht="15" customHeight="1">
      <c r="A30" s="113">
        <f t="shared" si="8"/>
      </c>
      <c r="B30" s="57"/>
      <c r="C30" s="36">
        <f t="shared" si="0"/>
      </c>
      <c r="D30" s="37">
        <f t="shared" si="1"/>
      </c>
      <c r="E30" s="38">
        <f t="shared" si="2"/>
      </c>
      <c r="F30" s="39">
        <f t="shared" si="3"/>
      </c>
      <c r="G30" s="38">
        <f t="shared" si="4"/>
      </c>
      <c r="H30" s="38">
        <f t="shared" si="5"/>
      </c>
      <c r="I30" s="117"/>
      <c r="J30" s="144">
        <f t="shared" si="7"/>
      </c>
      <c r="K30" s="33">
        <f t="shared" si="6"/>
      </c>
    </row>
    <row r="31" spans="1:11" s="33" customFormat="1" ht="15" customHeight="1">
      <c r="A31" s="113">
        <f t="shared" si="8"/>
      </c>
      <c r="B31" s="57"/>
      <c r="C31" s="36">
        <f t="shared" si="0"/>
      </c>
      <c r="D31" s="37">
        <f t="shared" si="1"/>
      </c>
      <c r="E31" s="38">
        <f t="shared" si="2"/>
      </c>
      <c r="F31" s="39">
        <f t="shared" si="3"/>
      </c>
      <c r="G31" s="38">
        <f t="shared" si="4"/>
      </c>
      <c r="H31" s="38">
        <f t="shared" si="5"/>
      </c>
      <c r="I31" s="117"/>
      <c r="J31" s="144">
        <f t="shared" si="7"/>
      </c>
      <c r="K31" s="33">
        <f t="shared" si="6"/>
      </c>
    </row>
    <row r="32" spans="1:11" s="33" customFormat="1" ht="15" customHeight="1">
      <c r="A32" s="113">
        <f t="shared" si="8"/>
      </c>
      <c r="B32" s="57"/>
      <c r="C32" s="36">
        <f t="shared" si="0"/>
      </c>
      <c r="D32" s="37">
        <f t="shared" si="1"/>
      </c>
      <c r="E32" s="38">
        <f t="shared" si="2"/>
      </c>
      <c r="F32" s="39">
        <f t="shared" si="3"/>
      </c>
      <c r="G32" s="38">
        <f t="shared" si="4"/>
      </c>
      <c r="H32" s="38">
        <f t="shared" si="5"/>
      </c>
      <c r="I32" s="117"/>
      <c r="J32" s="144">
        <f t="shared" si="7"/>
      </c>
      <c r="K32" s="33">
        <f t="shared" si="6"/>
      </c>
    </row>
    <row r="33" spans="1:11" s="33" customFormat="1" ht="15" customHeight="1">
      <c r="A33" s="113">
        <f t="shared" si="8"/>
      </c>
      <c r="B33" s="57"/>
      <c r="C33" s="36">
        <f t="shared" si="0"/>
      </c>
      <c r="D33" s="37">
        <f t="shared" si="1"/>
      </c>
      <c r="E33" s="38">
        <f t="shared" si="2"/>
      </c>
      <c r="F33" s="39">
        <f t="shared" si="3"/>
      </c>
      <c r="G33" s="38">
        <f t="shared" si="4"/>
      </c>
      <c r="H33" s="38">
        <f t="shared" si="5"/>
      </c>
      <c r="I33" s="117"/>
      <c r="J33" s="144">
        <f t="shared" si="7"/>
      </c>
      <c r="K33" s="33">
        <f t="shared" si="6"/>
      </c>
    </row>
    <row r="34" spans="1:11" s="33" customFormat="1" ht="15" customHeight="1">
      <c r="A34" s="113">
        <f t="shared" si="8"/>
      </c>
      <c r="B34" s="57"/>
      <c r="C34" s="36">
        <f t="shared" si="0"/>
      </c>
      <c r="D34" s="37">
        <f t="shared" si="1"/>
      </c>
      <c r="E34" s="38">
        <f t="shared" si="2"/>
      </c>
      <c r="F34" s="39">
        <f t="shared" si="3"/>
      </c>
      <c r="G34" s="38">
        <f t="shared" si="4"/>
      </c>
      <c r="H34" s="38">
        <f t="shared" si="5"/>
      </c>
      <c r="I34" s="117"/>
      <c r="J34" s="144">
        <f t="shared" si="7"/>
      </c>
      <c r="K34" s="33">
        <f t="shared" si="6"/>
      </c>
    </row>
    <row r="35" spans="1:11" s="33" customFormat="1" ht="15" customHeight="1">
      <c r="A35" s="113">
        <f t="shared" si="8"/>
      </c>
      <c r="B35" s="57"/>
      <c r="C35" s="36">
        <f t="shared" si="0"/>
      </c>
      <c r="D35" s="37">
        <f t="shared" si="1"/>
      </c>
      <c r="E35" s="38">
        <f t="shared" si="2"/>
      </c>
      <c r="F35" s="39">
        <f t="shared" si="3"/>
      </c>
      <c r="G35" s="38">
        <f t="shared" si="4"/>
      </c>
      <c r="H35" s="38">
        <f t="shared" si="5"/>
      </c>
      <c r="I35" s="117"/>
      <c r="J35" s="144">
        <f t="shared" si="7"/>
      </c>
      <c r="K35" s="33">
        <f t="shared" si="6"/>
      </c>
    </row>
    <row r="36" spans="1:11" s="33" customFormat="1" ht="15" customHeight="1">
      <c r="A36" s="113">
        <f t="shared" si="8"/>
      </c>
      <c r="B36" s="57"/>
      <c r="C36" s="36">
        <f t="shared" si="0"/>
      </c>
      <c r="D36" s="37">
        <f t="shared" si="1"/>
      </c>
      <c r="E36" s="38">
        <f t="shared" si="2"/>
      </c>
      <c r="F36" s="39">
        <f t="shared" si="3"/>
      </c>
      <c r="G36" s="38">
        <f t="shared" si="4"/>
      </c>
      <c r="H36" s="38">
        <f t="shared" si="5"/>
      </c>
      <c r="I36" s="117"/>
      <c r="J36" s="144">
        <f t="shared" si="7"/>
      </c>
      <c r="K36" s="33">
        <f t="shared" si="6"/>
      </c>
    </row>
    <row r="37" spans="1:11" ht="15" customHeight="1">
      <c r="A37" s="113">
        <f t="shared" si="8"/>
      </c>
      <c r="B37" s="106"/>
      <c r="C37" s="107">
        <f t="shared" si="0"/>
      </c>
      <c r="D37" s="37">
        <f t="shared" si="1"/>
      </c>
      <c r="E37" s="37">
        <f t="shared" si="2"/>
      </c>
      <c r="F37" s="38">
        <f t="shared" si="3"/>
      </c>
      <c r="G37" s="38">
        <f t="shared" si="4"/>
      </c>
      <c r="H37" s="38">
        <f t="shared" si="5"/>
      </c>
      <c r="I37" s="117"/>
      <c r="J37" s="144">
        <f t="shared" si="7"/>
      </c>
      <c r="K37" s="33">
        <f t="shared" si="6"/>
      </c>
    </row>
    <row r="38" spans="1:11" ht="15" customHeight="1">
      <c r="A38" s="113">
        <f t="shared" si="8"/>
      </c>
      <c r="B38" s="106"/>
      <c r="C38" s="107">
        <f t="shared" si="0"/>
      </c>
      <c r="D38" s="37">
        <f t="shared" si="1"/>
      </c>
      <c r="E38" s="37">
        <f t="shared" si="2"/>
      </c>
      <c r="F38" s="38">
        <f t="shared" si="3"/>
      </c>
      <c r="G38" s="38">
        <f t="shared" si="4"/>
      </c>
      <c r="H38" s="38">
        <f t="shared" si="5"/>
      </c>
      <c r="I38" s="117"/>
      <c r="J38" s="144">
        <f t="shared" si="7"/>
      </c>
      <c r="K38" s="33">
        <f t="shared" si="6"/>
      </c>
    </row>
    <row r="39" spans="1:11" ht="15" customHeight="1">
      <c r="A39" s="113">
        <f t="shared" si="8"/>
      </c>
      <c r="B39" s="106"/>
      <c r="C39" s="107">
        <f t="shared" si="0"/>
      </c>
      <c r="D39" s="37">
        <f t="shared" si="1"/>
      </c>
      <c r="E39" s="37">
        <f t="shared" si="2"/>
      </c>
      <c r="F39" s="38">
        <f t="shared" si="3"/>
      </c>
      <c r="G39" s="38">
        <f t="shared" si="4"/>
      </c>
      <c r="H39" s="38">
        <f t="shared" si="5"/>
      </c>
      <c r="I39" s="117"/>
      <c r="J39" s="144">
        <f t="shared" si="7"/>
      </c>
      <c r="K39" s="33">
        <f t="shared" si="6"/>
      </c>
    </row>
    <row r="40" spans="1:11" ht="15" customHeight="1">
      <c r="A40" s="113">
        <f t="shared" si="8"/>
      </c>
      <c r="B40" s="106"/>
      <c r="C40" s="107">
        <f t="shared" si="0"/>
      </c>
      <c r="D40" s="37">
        <f t="shared" si="1"/>
      </c>
      <c r="E40" s="37">
        <f t="shared" si="2"/>
      </c>
      <c r="F40" s="38">
        <f t="shared" si="3"/>
      </c>
      <c r="G40" s="38">
        <f t="shared" si="4"/>
      </c>
      <c r="H40" s="38">
        <f t="shared" si="5"/>
      </c>
      <c r="I40" s="117"/>
      <c r="J40" s="144">
        <f t="shared" si="7"/>
      </c>
      <c r="K40" s="33">
        <f t="shared" si="6"/>
      </c>
    </row>
    <row r="41" spans="1:11" ht="15" customHeight="1">
      <c r="A41" s="113">
        <f t="shared" si="8"/>
      </c>
      <c r="B41" s="106"/>
      <c r="C41" s="107">
        <f t="shared" si="0"/>
      </c>
      <c r="D41" s="37">
        <f t="shared" si="1"/>
      </c>
      <c r="E41" s="37">
        <f t="shared" si="2"/>
      </c>
      <c r="F41" s="38">
        <f t="shared" si="3"/>
      </c>
      <c r="G41" s="38">
        <f t="shared" si="4"/>
      </c>
      <c r="H41" s="38">
        <f t="shared" si="5"/>
      </c>
      <c r="I41" s="117"/>
      <c r="J41" s="144">
        <f t="shared" si="7"/>
      </c>
      <c r="K41" s="33">
        <f t="shared" si="6"/>
      </c>
    </row>
    <row r="42" spans="1:11" ht="15" customHeight="1">
      <c r="A42" s="113">
        <f t="shared" si="8"/>
      </c>
      <c r="B42" s="106"/>
      <c r="C42" s="107">
        <f t="shared" si="0"/>
      </c>
      <c r="D42" s="37">
        <f t="shared" si="1"/>
      </c>
      <c r="E42" s="37">
        <f t="shared" si="2"/>
      </c>
      <c r="F42" s="38">
        <f t="shared" si="3"/>
      </c>
      <c r="G42" s="38">
        <f t="shared" si="4"/>
      </c>
      <c r="H42" s="38">
        <f t="shared" si="5"/>
      </c>
      <c r="I42" s="117"/>
      <c r="J42" s="144">
        <f t="shared" si="7"/>
      </c>
      <c r="K42" s="33">
        <f t="shared" si="6"/>
      </c>
    </row>
    <row r="43" spans="1:11" ht="15" customHeight="1">
      <c r="A43" s="113">
        <f t="shared" si="8"/>
      </c>
      <c r="B43" s="106"/>
      <c r="C43" s="107">
        <f t="shared" si="0"/>
      </c>
      <c r="D43" s="37">
        <f t="shared" si="1"/>
      </c>
      <c r="E43" s="37">
        <f t="shared" si="2"/>
      </c>
      <c r="F43" s="38">
        <f t="shared" si="3"/>
      </c>
      <c r="G43" s="38">
        <f t="shared" si="4"/>
      </c>
      <c r="H43" s="38">
        <f t="shared" si="5"/>
      </c>
      <c r="I43" s="117"/>
      <c r="J43" s="144">
        <f t="shared" si="7"/>
      </c>
      <c r="K43" s="33">
        <f t="shared" si="6"/>
      </c>
    </row>
    <row r="44" spans="1:11" ht="15" customHeight="1">
      <c r="A44" s="113">
        <f t="shared" si="8"/>
      </c>
      <c r="B44" s="106"/>
      <c r="C44" s="107">
        <f t="shared" si="0"/>
      </c>
      <c r="D44" s="37">
        <f t="shared" si="1"/>
      </c>
      <c r="E44" s="37">
        <f t="shared" si="2"/>
      </c>
      <c r="F44" s="38">
        <f t="shared" si="3"/>
      </c>
      <c r="G44" s="38">
        <f t="shared" si="4"/>
      </c>
      <c r="H44" s="38">
        <f t="shared" si="5"/>
      </c>
      <c r="I44" s="117"/>
      <c r="J44" s="144">
        <f t="shared" si="7"/>
      </c>
      <c r="K44" s="33">
        <f t="shared" si="6"/>
      </c>
    </row>
    <row r="45" spans="1:11" ht="15" customHeight="1">
      <c r="A45" s="113">
        <f t="shared" si="8"/>
      </c>
      <c r="B45" s="106"/>
      <c r="C45" s="107">
        <f t="shared" si="0"/>
      </c>
      <c r="D45" s="37">
        <f t="shared" si="1"/>
      </c>
      <c r="E45" s="37">
        <f t="shared" si="2"/>
      </c>
      <c r="F45" s="38">
        <f t="shared" si="3"/>
      </c>
      <c r="G45" s="38">
        <f t="shared" si="4"/>
      </c>
      <c r="H45" s="38">
        <f t="shared" si="5"/>
      </c>
      <c r="I45" s="117"/>
      <c r="J45" s="144">
        <f t="shared" si="7"/>
      </c>
      <c r="K45" s="33">
        <f t="shared" si="6"/>
      </c>
    </row>
    <row r="46" spans="1:11" ht="15" customHeight="1">
      <c r="A46" s="113">
        <f t="shared" si="8"/>
      </c>
      <c r="B46" s="106"/>
      <c r="C46" s="107">
        <f t="shared" si="0"/>
      </c>
      <c r="D46" s="37">
        <f t="shared" si="1"/>
      </c>
      <c r="E46" s="37">
        <f t="shared" si="2"/>
      </c>
      <c r="F46" s="38">
        <f t="shared" si="3"/>
      </c>
      <c r="G46" s="38">
        <f t="shared" si="4"/>
      </c>
      <c r="H46" s="38">
        <f t="shared" si="5"/>
      </c>
      <c r="I46" s="117"/>
      <c r="J46" s="144">
        <f t="shared" si="7"/>
      </c>
      <c r="K46" s="33">
        <f t="shared" si="6"/>
      </c>
    </row>
    <row r="47" spans="1:11" ht="15" customHeight="1">
      <c r="A47" s="113">
        <f t="shared" si="8"/>
      </c>
      <c r="B47" s="106"/>
      <c r="C47" s="107">
        <f t="shared" si="0"/>
      </c>
      <c r="D47" s="37">
        <f t="shared" si="1"/>
      </c>
      <c r="E47" s="37">
        <f t="shared" si="2"/>
      </c>
      <c r="F47" s="38">
        <f t="shared" si="3"/>
      </c>
      <c r="G47" s="38">
        <f t="shared" si="4"/>
      </c>
      <c r="H47" s="38">
        <f t="shared" si="5"/>
      </c>
      <c r="I47" s="117"/>
      <c r="J47" s="144">
        <f t="shared" si="7"/>
      </c>
      <c r="K47" s="33">
        <f t="shared" si="6"/>
      </c>
    </row>
    <row r="48" spans="1:11" ht="15" customHeight="1">
      <c r="A48" s="113">
        <f t="shared" si="8"/>
      </c>
      <c r="B48" s="106"/>
      <c r="C48" s="107">
        <f t="shared" si="0"/>
      </c>
      <c r="D48" s="37">
        <f t="shared" si="1"/>
      </c>
      <c r="E48" s="37">
        <f t="shared" si="2"/>
      </c>
      <c r="F48" s="38">
        <f t="shared" si="3"/>
      </c>
      <c r="G48" s="38">
        <f t="shared" si="4"/>
      </c>
      <c r="H48" s="38">
        <f t="shared" si="5"/>
      </c>
      <c r="I48" s="117"/>
      <c r="J48" s="144">
        <f t="shared" si="7"/>
      </c>
      <c r="K48" s="33">
        <f t="shared" si="6"/>
      </c>
    </row>
    <row r="49" spans="1:11" ht="15" customHeight="1">
      <c r="A49" s="113">
        <f t="shared" si="8"/>
      </c>
      <c r="B49" s="106"/>
      <c r="C49" s="107">
        <f t="shared" si="0"/>
      </c>
      <c r="D49" s="37">
        <f t="shared" si="1"/>
      </c>
      <c r="E49" s="37">
        <f t="shared" si="2"/>
      </c>
      <c r="F49" s="38">
        <f t="shared" si="3"/>
      </c>
      <c r="G49" s="38">
        <f t="shared" si="4"/>
      </c>
      <c r="H49" s="38">
        <f t="shared" si="5"/>
      </c>
      <c r="I49" s="117"/>
      <c r="J49" s="144">
        <f t="shared" si="7"/>
      </c>
      <c r="K49" s="33">
        <f t="shared" si="6"/>
      </c>
    </row>
    <row r="50" spans="1:11" ht="15" customHeight="1">
      <c r="A50" s="113">
        <f t="shared" si="8"/>
      </c>
      <c r="B50" s="106"/>
      <c r="C50" s="107">
        <f t="shared" si="0"/>
      </c>
      <c r="D50" s="37">
        <f t="shared" si="1"/>
      </c>
      <c r="E50" s="37">
        <f t="shared" si="2"/>
      </c>
      <c r="F50" s="38">
        <f t="shared" si="3"/>
      </c>
      <c r="G50" s="38">
        <f t="shared" si="4"/>
      </c>
      <c r="H50" s="38">
        <f t="shared" si="5"/>
      </c>
      <c r="I50" s="117"/>
      <c r="J50" s="144">
        <f t="shared" si="7"/>
      </c>
      <c r="K50" s="33">
        <f t="shared" si="6"/>
      </c>
    </row>
    <row r="51" spans="1:11" ht="15" customHeight="1">
      <c r="A51" s="113">
        <f t="shared" si="8"/>
      </c>
      <c r="B51" s="106"/>
      <c r="C51" s="107">
        <f t="shared" si="0"/>
      </c>
      <c r="D51" s="37">
        <f t="shared" si="1"/>
      </c>
      <c r="E51" s="37">
        <f t="shared" si="2"/>
      </c>
      <c r="F51" s="38">
        <f t="shared" si="3"/>
      </c>
      <c r="G51" s="38">
        <f t="shared" si="4"/>
      </c>
      <c r="H51" s="38">
        <f t="shared" si="5"/>
      </c>
      <c r="I51" s="117"/>
      <c r="J51" s="144">
        <f t="shared" si="7"/>
      </c>
      <c r="K51" s="33">
        <f t="shared" si="6"/>
      </c>
    </row>
    <row r="52" spans="1:9" ht="15" customHeight="1">
      <c r="A52" s="46"/>
      <c r="I52" s="111"/>
    </row>
  </sheetData>
  <sheetProtection/>
  <conditionalFormatting sqref="D7:D51">
    <cfRule type="expression" priority="1" dxfId="3" stopIfTrue="1">
      <formula>G7+H7=2</formula>
    </cfRule>
    <cfRule type="expression" priority="2" dxfId="2" stopIfTrue="1">
      <formula>G7=1</formula>
    </cfRule>
    <cfRule type="expression" priority="3" dxfId="1" stopIfTrue="1">
      <formula>H7=1</formula>
    </cfRule>
  </conditionalFormatting>
  <conditionalFormatting sqref="C7:C51 E7:F51">
    <cfRule type="cellIs" priority="4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1"/>
  <dimension ref="A1:W8"/>
  <sheetViews>
    <sheetView zoomScalePageLayoutView="0" workbookViewId="0" topLeftCell="A1">
      <selection activeCell="N8" sqref="N8"/>
    </sheetView>
  </sheetViews>
  <sheetFormatPr defaultColWidth="11.421875" defaultRowHeight="12.75"/>
  <cols>
    <col min="1" max="1" width="10.421875" style="0" customWidth="1"/>
    <col min="2" max="2" width="2.7109375" style="0" customWidth="1"/>
    <col min="3" max="3" width="3.8515625" style="0" customWidth="1"/>
    <col min="4" max="4" width="9.28125" style="0" customWidth="1"/>
    <col min="5" max="5" width="6.7109375" style="0" customWidth="1"/>
    <col min="6" max="14" width="4.28125" style="0" customWidth="1"/>
    <col min="15" max="20" width="4.28125" style="90" customWidth="1"/>
    <col min="21" max="21" width="10.421875" style="90" customWidth="1"/>
    <col min="22" max="23" width="4.28125" style="90" customWidth="1"/>
    <col min="24" max="36" width="4.28125" style="0" customWidth="1"/>
    <col min="37" max="51" width="4.00390625" style="0" customWidth="1"/>
  </cols>
  <sheetData>
    <row r="1" ht="26.25">
      <c r="A1" s="16" t="s">
        <v>22</v>
      </c>
    </row>
    <row r="2" ht="13.5" thickBot="1"/>
    <row r="3" spans="1:14" ht="13.5" thickBot="1">
      <c r="A3" s="12" t="s">
        <v>20</v>
      </c>
      <c r="B3" s="19"/>
      <c r="C3" s="19"/>
      <c r="D3" s="19"/>
      <c r="E3" s="19"/>
      <c r="F3" s="12" t="s">
        <v>23</v>
      </c>
      <c r="G3" s="12"/>
      <c r="H3" s="12"/>
      <c r="I3" s="12"/>
      <c r="J3" s="12"/>
      <c r="K3" s="12"/>
      <c r="L3" s="12"/>
      <c r="M3" s="12"/>
      <c r="N3" s="12"/>
    </row>
    <row r="4" spans="1:23" ht="13.5" thickBot="1">
      <c r="A4" s="10" t="s">
        <v>15</v>
      </c>
      <c r="B4" s="10" t="s">
        <v>16</v>
      </c>
      <c r="C4" s="10"/>
      <c r="D4" s="11" t="s">
        <v>19</v>
      </c>
      <c r="E4" s="11" t="s">
        <v>21</v>
      </c>
      <c r="F4" s="93" t="s">
        <v>43</v>
      </c>
      <c r="G4" s="93" t="s">
        <v>44</v>
      </c>
      <c r="H4" s="93" t="s">
        <v>45</v>
      </c>
      <c r="I4" s="93" t="s">
        <v>46</v>
      </c>
      <c r="J4" s="93" t="s">
        <v>47</v>
      </c>
      <c r="K4" s="93" t="s">
        <v>48</v>
      </c>
      <c r="L4" s="93" t="s">
        <v>49</v>
      </c>
      <c r="M4" s="93" t="s">
        <v>64</v>
      </c>
      <c r="N4" s="97">
        <v>9</v>
      </c>
      <c r="O4" s="98">
        <v>10</v>
      </c>
      <c r="P4" s="97">
        <v>11</v>
      </c>
      <c r="Q4" s="98">
        <v>12</v>
      </c>
      <c r="R4" s="97">
        <v>13</v>
      </c>
      <c r="S4" s="98">
        <v>14</v>
      </c>
      <c r="T4" s="97">
        <v>15</v>
      </c>
      <c r="U4" s="97" t="s">
        <v>67</v>
      </c>
      <c r="V4"/>
      <c r="W4"/>
    </row>
    <row r="5" spans="1:23" ht="13.5" thickBot="1">
      <c r="A5" s="15" t="s">
        <v>9</v>
      </c>
      <c r="B5" s="20" t="s">
        <v>8</v>
      </c>
      <c r="C5" s="25"/>
      <c r="D5" s="28">
        <v>20</v>
      </c>
      <c r="E5" s="17">
        <f>100/D5</f>
        <v>5</v>
      </c>
      <c r="F5" s="91">
        <f>ROUND(Starter_L/GoldFaktor,0.5)</f>
        <v>1</v>
      </c>
      <c r="G5" s="91">
        <f>ROUND(Starter_M/GoldFaktor,0.5)</f>
        <v>2</v>
      </c>
      <c r="H5" s="91">
        <f>ROUND(Starter_N/GoldFaktor,0.5)</f>
        <v>2</v>
      </c>
      <c r="I5" s="91">
        <f>ROUND(Starter_P/GoldFaktor,0.5)</f>
        <v>2</v>
      </c>
      <c r="J5" s="91">
        <f>ROUND(Starter_Q/GoldFaktor,0.5)</f>
        <v>3</v>
      </c>
      <c r="K5" s="91">
        <f>ROUND(Starter_R/GoldFaktor,0.5)</f>
        <v>3</v>
      </c>
      <c r="L5" s="91">
        <f>ROUND(Starter_S/GoldFaktor,0.5)</f>
        <v>1</v>
      </c>
      <c r="M5" s="91">
        <f>ROUND(Starter_8/GoldFaktor,0.5)</f>
        <v>1</v>
      </c>
      <c r="N5" s="91">
        <f>ROUND(Starter_9/GoldFaktor,0.5)</f>
        <v>2</v>
      </c>
      <c r="O5" s="94">
        <f>ROUND(Starter_10/GoldFaktor,0.5)</f>
        <v>2</v>
      </c>
      <c r="P5" s="91">
        <f>ROUND(Starter_11/GoldFaktor,0.5)</f>
        <v>2</v>
      </c>
      <c r="Q5" s="94">
        <f>ROUND(Starter_12/GoldFaktor,0.5)</f>
        <v>0</v>
      </c>
      <c r="R5" s="91">
        <f>ROUND(Starter_13/GoldFaktor,0.5)</f>
        <v>0</v>
      </c>
      <c r="S5" s="94">
        <f>ROUND(Starter_14/GoldFaktor,0.5)</f>
        <v>1</v>
      </c>
      <c r="T5" s="91">
        <f>ROUND(Starter_15/GoldFaktor,0.5)</f>
        <v>0</v>
      </c>
      <c r="U5" s="91">
        <f>ROUND(Starter_HM/GoldFaktor,0.5)</f>
        <v>0</v>
      </c>
      <c r="V5"/>
      <c r="W5"/>
    </row>
    <row r="6" spans="1:23" ht="13.5" thickBot="1">
      <c r="A6" s="18" t="s">
        <v>10</v>
      </c>
      <c r="B6" s="21" t="s">
        <v>17</v>
      </c>
      <c r="C6" s="26"/>
      <c r="D6" s="28">
        <v>25</v>
      </c>
      <c r="E6" s="17">
        <f>100/D6</f>
        <v>4</v>
      </c>
      <c r="F6" s="91">
        <f>Gold_L+ROUND(Starter_L/SilberFaktor,0.5)</f>
        <v>2</v>
      </c>
      <c r="G6" s="91">
        <f>Gold_M+ROUND(Starter_M/SilberFaktor,0.5)</f>
        <v>4</v>
      </c>
      <c r="H6" s="91">
        <f>Gold_N+ROUND(Starter_N/SilberFaktor,0.5)</f>
        <v>4</v>
      </c>
      <c r="I6" s="91">
        <f>Gold_P+ROUND(Starter_P/SilberFaktor,0.5)</f>
        <v>5</v>
      </c>
      <c r="J6" s="91">
        <f>Gold_Q+ROUND(Starter_Q/SilberFaktor,0.5)</f>
        <v>7</v>
      </c>
      <c r="K6" s="91">
        <f>Gold_R+ROUND(Starter_R/SilberFaktor,0.5)</f>
        <v>7</v>
      </c>
      <c r="L6" s="91">
        <f>Gold_S+ROUND(Starter_S/SilberFaktor,0.5)</f>
        <v>2</v>
      </c>
      <c r="M6" s="91">
        <f>Gold_8+ROUND(Starter_8/SilberFaktor,0.5)</f>
        <v>2</v>
      </c>
      <c r="N6" s="95">
        <f>Gold_9+ROUND(Starter_9/SilberFaktor,0.5)</f>
        <v>5</v>
      </c>
      <c r="O6" s="96">
        <f>Gold_10+ROUND(Starter_10/SilberFaktor,0.5)</f>
        <v>5</v>
      </c>
      <c r="P6" s="95">
        <f>Gold_11+ROUND(Starter_11/SilberFaktor,0.5)</f>
        <v>5</v>
      </c>
      <c r="Q6" s="96">
        <f>Gold_12+ROUND(Starter_12/SilberFaktor,0.5)</f>
        <v>0</v>
      </c>
      <c r="R6" s="95">
        <f>Gold_13+ROUND(Starter_13/SilberFaktor,0.5)</f>
        <v>0</v>
      </c>
      <c r="S6" s="96">
        <f>Gold_14+ROUND(Starter_14/SilberFaktor,0.5)</f>
        <v>2</v>
      </c>
      <c r="T6" s="95">
        <f>Gold_15+ROUND(Starter_15/SilberFaktor,0.5)</f>
        <v>0</v>
      </c>
      <c r="U6" s="95">
        <f>Gold_HM+ROUND(Starter_HM/SilberFaktor,0.5)</f>
        <v>0</v>
      </c>
      <c r="V6"/>
      <c r="W6"/>
    </row>
    <row r="7" spans="1:23" ht="13.5" thickBot="1">
      <c r="A7" s="14" t="s">
        <v>12</v>
      </c>
      <c r="B7" s="22" t="s">
        <v>11</v>
      </c>
      <c r="C7" s="27"/>
      <c r="D7" s="28">
        <v>30</v>
      </c>
      <c r="E7" s="17">
        <f>100/D7</f>
        <v>3.3333333333333335</v>
      </c>
      <c r="F7" s="91">
        <f>Silber_L+ROUND(Starter_L/BronzeFaktor,0.5)</f>
        <v>4</v>
      </c>
      <c r="G7" s="91">
        <f>Silber_M+ROUND(Starter_M/BronzeFaktor,0.5)</f>
        <v>6</v>
      </c>
      <c r="H7" s="91">
        <f>Silber_N+ROUND(Starter_N/BronzeFaktor,0.5)</f>
        <v>6</v>
      </c>
      <c r="I7" s="91">
        <f>Silber_P+ROUND(Starter_P/BronzeFaktor,0.5)</f>
        <v>8</v>
      </c>
      <c r="J7" s="91">
        <f>Silber_Q+ROUND(Starter_Q/BronzeFaktor,0.5)</f>
        <v>12</v>
      </c>
      <c r="K7" s="91">
        <f>Silber_R+ROUND(Starter_R/BronzeFaktor,0.5)</f>
        <v>12</v>
      </c>
      <c r="L7" s="91">
        <f>Silber_S+ROUND(Starter_S/BronzeFaktor,0.5)</f>
        <v>4</v>
      </c>
      <c r="M7" s="91">
        <f>Silber_8+ROUND(Starter_8/BronzeFaktor,0.5)</f>
        <v>3</v>
      </c>
      <c r="N7" s="95">
        <f>Silber_9+ROUND(Starter_9/BronzeFaktor,0.5)</f>
        <v>8</v>
      </c>
      <c r="O7" s="91">
        <f>Silber_10+ROUND(Starter_10/BronzeFaktor,0.5)</f>
        <v>8</v>
      </c>
      <c r="P7" s="95">
        <f>Silber_11+ROUND(Starter_11/BronzeFaktor,0.5)</f>
        <v>8</v>
      </c>
      <c r="Q7" s="96">
        <f>Silber_12+ROUND(Starter_12/BronzeFaktor,0.5)</f>
        <v>0</v>
      </c>
      <c r="R7" s="95">
        <f>Silber_13+ROUND(Starter_13/BronzeFaktor,0.5)</f>
        <v>0</v>
      </c>
      <c r="S7" s="96">
        <f>Silber_14+ROUND(Starter_14/BronzeFaktor,0.5)</f>
        <v>4</v>
      </c>
      <c r="T7" s="95">
        <f>Silber_15+ROUND(Starter_15/BronzeFaktor,0.5)</f>
        <v>0</v>
      </c>
      <c r="U7" s="95">
        <f>Silber_HM+ROUND(Starter_HM/BronzeFaktor,0.5)</f>
        <v>0</v>
      </c>
      <c r="V7"/>
      <c r="W7"/>
    </row>
    <row r="8" spans="1:23" ht="13.5" thickBot="1">
      <c r="A8" s="13" t="s">
        <v>14</v>
      </c>
      <c r="B8" s="23" t="s">
        <v>13</v>
      </c>
      <c r="C8" s="24"/>
      <c r="D8" s="29" t="s">
        <v>18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92"/>
      <c r="P8" s="92"/>
      <c r="Q8" s="92"/>
      <c r="R8" s="92"/>
      <c r="S8" s="92"/>
      <c r="T8" s="92"/>
      <c r="U8" s="92"/>
      <c r="V8" s="92"/>
      <c r="W8" s="9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F4:M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/>
  <dimension ref="A1:X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35</v>
      </c>
      <c r="B2" s="50"/>
      <c r="C2" s="60"/>
      <c r="D2" s="50">
        <f>MAX(A5:A34)</f>
        <v>5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IF(ISBLANK(C5),"",IF(A5&lt;=Gold_L,Goldplakette,IF(A5&lt;=Silber_L,Silberplakette,IF(A5&lt;=Bronze_L,Bronzeplakette,Erinnerung))))</f>
        <v>G</v>
      </c>
      <c r="C5" s="56">
        <v>955</v>
      </c>
      <c r="D5" s="36">
        <f aca="true" t="shared" si="1" ref="D5:D34">IF(ISBLANK(C5),"",VLOOKUP(C5,Starter_Feld,2,FALSE))</f>
        <v>15264</v>
      </c>
      <c r="E5" s="37" t="str">
        <f aca="true" t="shared" si="2" ref="E5:E34">IF(ISBLANK(C5),"",VLOOKUP(C5,Starter_Feld,3,FALSE))</f>
        <v>Henninger, Florian</v>
      </c>
      <c r="F5" s="38" t="str">
        <f aca="true" t="shared" si="3" ref="F5:F34">IF(ISBLANK(C5),"",VLOOKUP(C5,Starter_Feld,4,FALSE))</f>
        <v>ASC Ansbach</v>
      </c>
      <c r="G5" s="39" t="str">
        <f aca="true" t="shared" si="4" ref="G5:G34">IF(ISBLANK(C5),"",VLOOKUP(C5,Starter_Feld,5,FALSE))</f>
        <v>Daihatsu Cuore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0.000783449074074074</v>
      </c>
      <c r="K5" s="68"/>
      <c r="L5" s="41">
        <f aca="true" t="shared" si="7" ref="L5:L34">SUM(0.000011575*K5)</f>
        <v>0</v>
      </c>
      <c r="M5" s="41">
        <f aca="true" t="shared" si="8" ref="M5:M34">SUM(J5,L5)</f>
        <v>0.000783449074074074</v>
      </c>
      <c r="N5" s="88">
        <f aca="true" t="shared" si="9" ref="N5:N34">IF(J5&lt;&gt;0,M5,"")</f>
        <v>0.000783449074074074</v>
      </c>
      <c r="O5" s="71">
        <v>0.0007807870370370372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0.0007807870370370372</v>
      </c>
      <c r="S5" s="81">
        <f aca="true" t="shared" si="12" ref="S5:S34">IF(O5&lt;&gt;0,R5,"")</f>
        <v>0.0007807870370370372</v>
      </c>
      <c r="T5" s="82">
        <f aca="true" t="shared" si="13" ref="T5:T34">MIN(N5,S5)</f>
        <v>0.0007807870370370372</v>
      </c>
      <c r="U5" s="83">
        <f aca="true" t="shared" si="14" ref="U5:U34">IF(O5=0,"",T5)</f>
        <v>0.0007807870370370372</v>
      </c>
      <c r="V5" s="84">
        <f aca="true" t="shared" si="15" ref="V5:V34">23-(20*(A5))/D$2</f>
        <v>19</v>
      </c>
      <c r="W5" s="138">
        <f aca="true" t="shared" si="16" ref="W5:W34">IF(O5=0,"",V5)</f>
        <v>19</v>
      </c>
      <c r="X5" s="1"/>
    </row>
    <row r="6" spans="1:24" s="33" customFormat="1" ht="15" customHeight="1">
      <c r="A6" s="45">
        <f>IF(ISBLANK(C6),"",A5+1)</f>
        <v>2</v>
      </c>
      <c r="B6" s="40" t="str">
        <f t="shared" si="0"/>
        <v>S</v>
      </c>
      <c r="C6" s="57">
        <v>48</v>
      </c>
      <c r="D6" s="36">
        <f t="shared" si="1"/>
        <v>11597</v>
      </c>
      <c r="E6" s="37" t="str">
        <f t="shared" si="2"/>
        <v>Koch, Wieland</v>
      </c>
      <c r="F6" s="38" t="str">
        <f t="shared" si="3"/>
        <v>MSC Jura</v>
      </c>
      <c r="G6" s="39" t="str">
        <f t="shared" si="4"/>
        <v>NSU TTS</v>
      </c>
      <c r="H6" s="38">
        <f t="shared" si="5"/>
        <v>0</v>
      </c>
      <c r="I6" s="137">
        <f t="shared" si="6"/>
        <v>0</v>
      </c>
      <c r="J6" s="69">
        <v>0.0007822916666666667</v>
      </c>
      <c r="K6" s="70"/>
      <c r="L6" s="42">
        <f t="shared" si="7"/>
        <v>0</v>
      </c>
      <c r="M6" s="42">
        <f t="shared" si="8"/>
        <v>0.0007822916666666667</v>
      </c>
      <c r="N6" s="89">
        <f t="shared" si="9"/>
        <v>0.0007822916666666667</v>
      </c>
      <c r="O6" s="73">
        <v>0.0007828703703703704</v>
      </c>
      <c r="P6" s="74"/>
      <c r="Q6" s="42">
        <f t="shared" si="10"/>
        <v>0</v>
      </c>
      <c r="R6" s="42">
        <f t="shared" si="11"/>
        <v>0.0007828703703703704</v>
      </c>
      <c r="S6" s="85">
        <f t="shared" si="12"/>
        <v>0.0007828703703703704</v>
      </c>
      <c r="T6" s="82">
        <f t="shared" si="13"/>
        <v>0.0007822916666666667</v>
      </c>
      <c r="U6" s="86">
        <f t="shared" si="14"/>
        <v>0.0007822916666666667</v>
      </c>
      <c r="V6" s="84">
        <f t="shared" si="15"/>
        <v>15</v>
      </c>
      <c r="W6" s="139">
        <f t="shared" si="16"/>
        <v>15</v>
      </c>
      <c r="X6" s="1"/>
    </row>
    <row r="7" spans="1:24" s="33" customFormat="1" ht="15" customHeight="1">
      <c r="A7" s="45">
        <f>IF(ISBLANK(C7),"",A6+1)</f>
        <v>3</v>
      </c>
      <c r="B7" s="40" t="str">
        <f t="shared" si="0"/>
        <v>B</v>
      </c>
      <c r="C7" s="57">
        <v>165</v>
      </c>
      <c r="D7" s="36">
        <f t="shared" si="1"/>
        <v>12772</v>
      </c>
      <c r="E7" s="37" t="str">
        <f t="shared" si="2"/>
        <v>Ziegler, Erich</v>
      </c>
      <c r="F7" s="38" t="str">
        <f t="shared" si="3"/>
        <v>ASC Ansbach</v>
      </c>
      <c r="G7" s="39" t="str">
        <f t="shared" si="4"/>
        <v>Daihatsu Cuore</v>
      </c>
      <c r="H7" s="38">
        <f t="shared" si="5"/>
        <v>0</v>
      </c>
      <c r="I7" s="137">
        <f t="shared" si="6"/>
        <v>0</v>
      </c>
      <c r="J7" s="69">
        <v>0.0008336805555555555</v>
      </c>
      <c r="K7" s="70" t="s">
        <v>258</v>
      </c>
      <c r="L7" s="42">
        <f t="shared" si="7"/>
        <v>0.000463</v>
      </c>
      <c r="M7" s="42">
        <f t="shared" si="8"/>
        <v>0.0012966805555555555</v>
      </c>
      <c r="N7" s="89">
        <f t="shared" si="9"/>
        <v>0.0012966805555555555</v>
      </c>
      <c r="O7" s="73">
        <v>0.0008186342592592593</v>
      </c>
      <c r="P7" s="74"/>
      <c r="Q7" s="42">
        <f t="shared" si="10"/>
        <v>0</v>
      </c>
      <c r="R7" s="42">
        <f t="shared" si="11"/>
        <v>0.0008186342592592593</v>
      </c>
      <c r="S7" s="85">
        <f t="shared" si="12"/>
        <v>0.0008186342592592593</v>
      </c>
      <c r="T7" s="82">
        <f t="shared" si="13"/>
        <v>0.0008186342592592593</v>
      </c>
      <c r="U7" s="86">
        <f t="shared" si="14"/>
        <v>0.0008186342592592593</v>
      </c>
      <c r="V7" s="84">
        <f t="shared" si="15"/>
        <v>11</v>
      </c>
      <c r="W7" s="139">
        <f t="shared" si="16"/>
        <v>11</v>
      </c>
      <c r="X7" s="1"/>
    </row>
    <row r="8" spans="1:24" s="33" customFormat="1" ht="15" customHeight="1">
      <c r="A8" s="45">
        <f>IF(ISBLANK(C8),"",A7+1)</f>
        <v>4</v>
      </c>
      <c r="B8" s="40" t="str">
        <f t="shared" si="0"/>
        <v>B</v>
      </c>
      <c r="C8" s="57">
        <v>55</v>
      </c>
      <c r="D8" s="36">
        <f t="shared" si="1"/>
        <v>15356</v>
      </c>
      <c r="E8" s="37" t="str">
        <f t="shared" si="2"/>
        <v>Heller, Barbara</v>
      </c>
      <c r="F8" s="38" t="str">
        <f t="shared" si="3"/>
        <v>ASC Ansbach</v>
      </c>
      <c r="G8" s="39" t="str">
        <f t="shared" si="4"/>
        <v>Daihatsu Cuore</v>
      </c>
      <c r="H8" s="38">
        <f t="shared" si="5"/>
        <v>1</v>
      </c>
      <c r="I8" s="137">
        <f t="shared" si="6"/>
        <v>1</v>
      </c>
      <c r="J8" s="69">
        <v>0.0008362268518518518</v>
      </c>
      <c r="K8" s="70"/>
      <c r="L8" s="42">
        <f t="shared" si="7"/>
        <v>0</v>
      </c>
      <c r="M8" s="42">
        <f t="shared" si="8"/>
        <v>0.0008362268518518518</v>
      </c>
      <c r="N8" s="89">
        <f t="shared" si="9"/>
        <v>0.0008362268518518518</v>
      </c>
      <c r="O8" s="73">
        <v>0.0008180555555555555</v>
      </c>
      <c r="P8" s="74">
        <v>5</v>
      </c>
      <c r="Q8" s="42">
        <f t="shared" si="10"/>
        <v>5.7875E-05</v>
      </c>
      <c r="R8" s="42">
        <f t="shared" si="11"/>
        <v>0.0008759305555555555</v>
      </c>
      <c r="S8" s="85">
        <f t="shared" si="12"/>
        <v>0.0008759305555555555</v>
      </c>
      <c r="T8" s="82">
        <f t="shared" si="13"/>
        <v>0.0008362268518518518</v>
      </c>
      <c r="U8" s="86">
        <f t="shared" si="14"/>
        <v>0.0008362268518518518</v>
      </c>
      <c r="V8" s="84">
        <f t="shared" si="15"/>
        <v>7</v>
      </c>
      <c r="W8" s="139">
        <f t="shared" si="16"/>
        <v>7</v>
      </c>
      <c r="X8" s="1"/>
    </row>
    <row r="9" spans="1:24" s="33" customFormat="1" ht="15" customHeight="1">
      <c r="A9" s="45">
        <f>IF(ISBLANK(C9),"",A8+1)</f>
        <v>5</v>
      </c>
      <c r="B9" s="40" t="str">
        <f t="shared" si="0"/>
        <v>E</v>
      </c>
      <c r="C9" s="57">
        <v>414</v>
      </c>
      <c r="D9" s="36">
        <f t="shared" si="1"/>
        <v>15894</v>
      </c>
      <c r="E9" s="37" t="str">
        <f t="shared" si="2"/>
        <v>Feder, Jasmin</v>
      </c>
      <c r="F9" s="38" t="str">
        <f t="shared" si="3"/>
        <v>RST Mittelfranken</v>
      </c>
      <c r="G9" s="39" t="str">
        <f t="shared" si="4"/>
        <v>VW Polo</v>
      </c>
      <c r="H9" s="38">
        <f t="shared" si="5"/>
        <v>1</v>
      </c>
      <c r="I9" s="137">
        <f t="shared" si="6"/>
        <v>1</v>
      </c>
      <c r="J9" s="69">
        <v>0.00084375</v>
      </c>
      <c r="K9" s="70"/>
      <c r="L9" s="42">
        <f t="shared" si="7"/>
        <v>0</v>
      </c>
      <c r="M9" s="42">
        <f t="shared" si="8"/>
        <v>0.00084375</v>
      </c>
      <c r="N9" s="89">
        <f t="shared" si="9"/>
        <v>0.00084375</v>
      </c>
      <c r="O9" s="73">
        <v>0.0008375</v>
      </c>
      <c r="P9" s="74"/>
      <c r="Q9" s="42">
        <f t="shared" si="10"/>
        <v>0</v>
      </c>
      <c r="R9" s="42">
        <f t="shared" si="11"/>
        <v>0.0008375</v>
      </c>
      <c r="S9" s="85">
        <f t="shared" si="12"/>
        <v>0.0008375</v>
      </c>
      <c r="T9" s="82">
        <f t="shared" si="13"/>
        <v>0.0008375</v>
      </c>
      <c r="U9" s="86">
        <f t="shared" si="14"/>
        <v>0.0008375</v>
      </c>
      <c r="V9" s="84">
        <f t="shared" si="15"/>
        <v>3</v>
      </c>
      <c r="W9" s="139">
        <f t="shared" si="16"/>
        <v>3</v>
      </c>
      <c r="X9" s="1"/>
    </row>
    <row r="10" spans="1:24" s="33" customFormat="1" ht="15" customHeight="1">
      <c r="A10" s="45">
        <f aca="true" t="shared" si="17" ref="A10:A33">IF(ISBLANK(C10),"",A9+1)</f>
      </c>
      <c r="B10" s="40">
        <f t="shared" si="0"/>
      </c>
      <c r="C10" s="57"/>
      <c r="D10" s="36">
        <f t="shared" si="1"/>
      </c>
      <c r="E10" s="37">
        <f t="shared" si="2"/>
      </c>
      <c r="F10" s="38">
        <f t="shared" si="3"/>
      </c>
      <c r="G10" s="39">
        <f t="shared" si="4"/>
      </c>
      <c r="H10" s="38">
        <f t="shared" si="5"/>
      </c>
      <c r="I10" s="137">
        <f t="shared" si="6"/>
      </c>
      <c r="J10" s="69"/>
      <c r="K10" s="70"/>
      <c r="L10" s="42">
        <f t="shared" si="7"/>
        <v>0</v>
      </c>
      <c r="M10" s="42">
        <f t="shared" si="8"/>
        <v>0</v>
      </c>
      <c r="N10" s="89">
        <f t="shared" si="9"/>
      </c>
      <c r="O10" s="73"/>
      <c r="P10" s="74"/>
      <c r="Q10" s="42">
        <f t="shared" si="10"/>
        <v>0</v>
      </c>
      <c r="R10" s="42">
        <f t="shared" si="11"/>
        <v>0</v>
      </c>
      <c r="S10" s="85">
        <f t="shared" si="12"/>
      </c>
      <c r="T10" s="82">
        <f t="shared" si="13"/>
        <v>0</v>
      </c>
      <c r="U10" s="86">
        <f t="shared" si="14"/>
      </c>
      <c r="V10" s="84" t="e">
        <f t="shared" si="15"/>
        <v>#VALUE!</v>
      </c>
      <c r="W10" s="139">
        <f t="shared" si="16"/>
      </c>
      <c r="X10" s="1"/>
    </row>
    <row r="11" spans="1:24" s="33" customFormat="1" ht="15" customHeight="1">
      <c r="A11" s="45">
        <f t="shared" si="17"/>
      </c>
      <c r="B11" s="40">
        <f t="shared" si="0"/>
      </c>
      <c r="C11" s="57"/>
      <c r="D11" s="36">
        <f t="shared" si="1"/>
      </c>
      <c r="E11" s="37">
        <f t="shared" si="2"/>
      </c>
      <c r="F11" s="38">
        <f t="shared" si="3"/>
      </c>
      <c r="G11" s="39">
        <f t="shared" si="4"/>
      </c>
      <c r="H11" s="38">
        <f t="shared" si="5"/>
      </c>
      <c r="I11" s="137">
        <f t="shared" si="6"/>
      </c>
      <c r="J11" s="69"/>
      <c r="K11" s="70"/>
      <c r="L11" s="42">
        <f t="shared" si="7"/>
        <v>0</v>
      </c>
      <c r="M11" s="42">
        <f t="shared" si="8"/>
        <v>0</v>
      </c>
      <c r="N11" s="89">
        <f t="shared" si="9"/>
      </c>
      <c r="O11" s="73"/>
      <c r="P11" s="74"/>
      <c r="Q11" s="42">
        <f t="shared" si="10"/>
        <v>0</v>
      </c>
      <c r="R11" s="42">
        <f t="shared" si="11"/>
        <v>0</v>
      </c>
      <c r="S11" s="85">
        <f t="shared" si="12"/>
      </c>
      <c r="T11" s="82">
        <f t="shared" si="13"/>
        <v>0</v>
      </c>
      <c r="U11" s="86">
        <f t="shared" si="14"/>
      </c>
      <c r="V11" s="84" t="e">
        <f t="shared" si="15"/>
        <v>#VALUE!</v>
      </c>
      <c r="W11" s="139">
        <f t="shared" si="16"/>
      </c>
      <c r="X11" s="1"/>
    </row>
    <row r="12" spans="1:24" s="33" customFormat="1" ht="15" customHeight="1">
      <c r="A12" s="45">
        <f t="shared" si="17"/>
      </c>
      <c r="B12" s="40">
        <f t="shared" si="0"/>
      </c>
      <c r="C12" s="57"/>
      <c r="D12" s="36">
        <f t="shared" si="1"/>
      </c>
      <c r="E12" s="37">
        <f t="shared" si="2"/>
      </c>
      <c r="F12" s="38">
        <f t="shared" si="3"/>
      </c>
      <c r="G12" s="39">
        <f t="shared" si="4"/>
      </c>
      <c r="H12" s="38">
        <f t="shared" si="5"/>
      </c>
      <c r="I12" s="137">
        <f t="shared" si="6"/>
      </c>
      <c r="J12" s="141"/>
      <c r="K12" s="70"/>
      <c r="L12" s="42">
        <f t="shared" si="7"/>
        <v>0</v>
      </c>
      <c r="M12" s="42">
        <f t="shared" si="8"/>
        <v>0</v>
      </c>
      <c r="N12" s="89">
        <f t="shared" si="9"/>
      </c>
      <c r="O12" s="73"/>
      <c r="P12" s="74"/>
      <c r="Q12" s="42">
        <f t="shared" si="10"/>
        <v>0</v>
      </c>
      <c r="R12" s="42">
        <f t="shared" si="11"/>
        <v>0</v>
      </c>
      <c r="S12" s="85">
        <f t="shared" si="12"/>
      </c>
      <c r="T12" s="82">
        <f t="shared" si="13"/>
        <v>0</v>
      </c>
      <c r="U12" s="86">
        <f t="shared" si="14"/>
      </c>
      <c r="V12" s="84" t="e">
        <f t="shared" si="15"/>
        <v>#VALUE!</v>
      </c>
      <c r="W12" s="139">
        <f t="shared" si="16"/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37</v>
      </c>
      <c r="B2" s="50"/>
      <c r="C2" s="60"/>
      <c r="D2" s="50">
        <f>MAX(A5:A34)</f>
        <v>8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IF(ISBLANK(C5),"",IF(A5&lt;=Gold_M,Goldplakette,IF(A5&lt;=Silber_M,Silberplakette,IF(A5&lt;=Bronze_M,Bronzeplakette,Erinnerung))))</f>
        <v>G</v>
      </c>
      <c r="C5" s="56">
        <v>222</v>
      </c>
      <c r="D5" s="36">
        <f aca="true" t="shared" si="1" ref="D5:D34">IF(ISBLANK(C5),"",VLOOKUP(C5,Starter_Feld,2,FALSE))</f>
        <v>13612</v>
      </c>
      <c r="E5" s="37" t="str">
        <f aca="true" t="shared" si="2" ref="E5:E34">IF(ISBLANK(C5),"",VLOOKUP(C5,Starter_Feld,3,FALSE))</f>
        <v>Dietrich, Corinna</v>
      </c>
      <c r="F5" s="38" t="str">
        <f aca="true" t="shared" si="3" ref="F5:F34">IF(ISBLANK(C5),"",VLOOKUP(C5,Starter_Feld,4,FALSE))</f>
        <v>MSC Bechhofen</v>
      </c>
      <c r="G5" s="39" t="str">
        <f aca="true" t="shared" si="4" ref="G5:G34">IF(ISBLANK(C5),"",VLOOKUP(C5,Starter_Feld,5,FALSE))</f>
        <v>VW Polo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1</v>
      </c>
      <c r="J5" s="67">
        <v>0.000759375</v>
      </c>
      <c r="K5" s="68"/>
      <c r="L5" s="41">
        <f aca="true" t="shared" si="7" ref="L5:L34">SUM(0.000011575*K5)</f>
        <v>0</v>
      </c>
      <c r="M5" s="41">
        <f aca="true" t="shared" si="8" ref="M5:M34">SUM(J5,L5)</f>
        <v>0.000759375</v>
      </c>
      <c r="N5" s="88">
        <f aca="true" t="shared" si="9" ref="N5:N34">IF(J5&lt;&gt;0,M5,"")</f>
        <v>0.000759375</v>
      </c>
      <c r="O5" s="71">
        <v>0.000749074074074074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0.000749074074074074</v>
      </c>
      <c r="S5" s="81">
        <f aca="true" t="shared" si="12" ref="S5:S34">IF(O5&lt;&gt;0,R5,"")</f>
        <v>0.000749074074074074</v>
      </c>
      <c r="T5" s="82">
        <f aca="true" t="shared" si="13" ref="T5:T34">MIN(N5,S5)</f>
        <v>0.000749074074074074</v>
      </c>
      <c r="U5" s="83">
        <f aca="true" t="shared" si="14" ref="U5:U34">IF(O5=0,"",T5)</f>
        <v>0.000749074074074074</v>
      </c>
      <c r="V5" s="84">
        <f aca="true" t="shared" si="15" ref="V5:V34">23-(20*(A5))/D$2</f>
        <v>20.5</v>
      </c>
      <c r="W5" s="138">
        <f aca="true" t="shared" si="16" ref="W5:W34">IF(O5=0,"",V5)</f>
        <v>20.5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G</v>
      </c>
      <c r="C6" s="57">
        <v>224</v>
      </c>
      <c r="D6" s="36">
        <f t="shared" si="1"/>
        <v>40024</v>
      </c>
      <c r="E6" s="37" t="str">
        <f t="shared" si="2"/>
        <v>Dietrich, Jens</v>
      </c>
      <c r="F6" s="38" t="str">
        <f t="shared" si="3"/>
        <v>MSC Bechhofen</v>
      </c>
      <c r="G6" s="39" t="str">
        <f t="shared" si="4"/>
        <v>VW Polo</v>
      </c>
      <c r="H6" s="38">
        <f t="shared" si="5"/>
        <v>0</v>
      </c>
      <c r="I6" s="137">
        <f t="shared" si="6"/>
        <v>0</v>
      </c>
      <c r="J6" s="69">
        <v>0.000759375</v>
      </c>
      <c r="K6" s="70"/>
      <c r="L6" s="42">
        <f t="shared" si="7"/>
        <v>0</v>
      </c>
      <c r="M6" s="42">
        <f t="shared" si="8"/>
        <v>0.000759375</v>
      </c>
      <c r="N6" s="89">
        <f t="shared" si="9"/>
        <v>0.000759375</v>
      </c>
      <c r="O6" s="73">
        <v>0.0007444444444444444</v>
      </c>
      <c r="P6" s="74">
        <v>5</v>
      </c>
      <c r="Q6" s="42">
        <f t="shared" si="10"/>
        <v>5.7875E-05</v>
      </c>
      <c r="R6" s="42">
        <f t="shared" si="11"/>
        <v>0.0008023194444444444</v>
      </c>
      <c r="S6" s="85">
        <f t="shared" si="12"/>
        <v>0.0008023194444444444</v>
      </c>
      <c r="T6" s="82">
        <f t="shared" si="13"/>
        <v>0.000759375</v>
      </c>
      <c r="U6" s="86">
        <f t="shared" si="14"/>
        <v>0.000759375</v>
      </c>
      <c r="V6" s="84">
        <f t="shared" si="15"/>
        <v>18</v>
      </c>
      <c r="W6" s="139">
        <f t="shared" si="16"/>
        <v>18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S</v>
      </c>
      <c r="C7" s="57">
        <v>221</v>
      </c>
      <c r="D7" s="36">
        <f t="shared" si="1"/>
        <v>20071</v>
      </c>
      <c r="E7" s="37" t="str">
        <f t="shared" si="2"/>
        <v>Schopf, Karl</v>
      </c>
      <c r="F7" s="38" t="str">
        <f t="shared" si="3"/>
        <v>ASC Ansbach</v>
      </c>
      <c r="G7" s="39" t="str">
        <f t="shared" si="4"/>
        <v>Audi 50</v>
      </c>
      <c r="H7" s="38">
        <f t="shared" si="5"/>
        <v>0</v>
      </c>
      <c r="I7" s="137">
        <f t="shared" si="6"/>
        <v>0</v>
      </c>
      <c r="J7" s="69">
        <v>0.0007739583333333334</v>
      </c>
      <c r="K7" s="70"/>
      <c r="L7" s="42">
        <f t="shared" si="7"/>
        <v>0</v>
      </c>
      <c r="M7" s="42">
        <f t="shared" si="8"/>
        <v>0.0007739583333333334</v>
      </c>
      <c r="N7" s="89">
        <f t="shared" si="9"/>
        <v>0.0007739583333333334</v>
      </c>
      <c r="O7" s="73">
        <v>0.0007717592592592593</v>
      </c>
      <c r="P7" s="74"/>
      <c r="Q7" s="42">
        <f t="shared" si="10"/>
        <v>0</v>
      </c>
      <c r="R7" s="42">
        <f t="shared" si="11"/>
        <v>0.0007717592592592593</v>
      </c>
      <c r="S7" s="85">
        <f t="shared" si="12"/>
        <v>0.0007717592592592593</v>
      </c>
      <c r="T7" s="82">
        <f t="shared" si="13"/>
        <v>0.0007717592592592593</v>
      </c>
      <c r="U7" s="86">
        <f t="shared" si="14"/>
        <v>0.0007717592592592593</v>
      </c>
      <c r="V7" s="84">
        <f t="shared" si="15"/>
        <v>15.5</v>
      </c>
      <c r="W7" s="139">
        <f t="shared" si="16"/>
        <v>15.5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S</v>
      </c>
      <c r="C8" s="57">
        <v>33</v>
      </c>
      <c r="D8" s="36">
        <f t="shared" si="1"/>
        <v>15370</v>
      </c>
      <c r="E8" s="37" t="str">
        <f t="shared" si="2"/>
        <v>Ehrngruber, René</v>
      </c>
      <c r="F8" s="38" t="str">
        <f t="shared" si="3"/>
        <v>MSC Jura</v>
      </c>
      <c r="G8" s="39" t="str">
        <f t="shared" si="4"/>
        <v>VW Polo</v>
      </c>
      <c r="H8" s="38">
        <f t="shared" si="5"/>
        <v>1</v>
      </c>
      <c r="I8" s="137">
        <f t="shared" si="6"/>
        <v>0</v>
      </c>
      <c r="J8" s="141">
        <v>0.000772337962962963</v>
      </c>
      <c r="K8" s="70"/>
      <c r="L8" s="42">
        <f t="shared" si="7"/>
        <v>0</v>
      </c>
      <c r="M8" s="42">
        <f t="shared" si="8"/>
        <v>0.000772337962962963</v>
      </c>
      <c r="N8" s="89">
        <f t="shared" si="9"/>
        <v>0.000772337962962963</v>
      </c>
      <c r="O8" s="73">
        <v>0.000783564814814815</v>
      </c>
      <c r="P8" s="74">
        <v>10</v>
      </c>
      <c r="Q8" s="42">
        <f t="shared" si="10"/>
        <v>0.00011575</v>
      </c>
      <c r="R8" s="42">
        <f t="shared" si="11"/>
        <v>0.0008993148148148149</v>
      </c>
      <c r="S8" s="85">
        <f t="shared" si="12"/>
        <v>0.0008993148148148149</v>
      </c>
      <c r="T8" s="82">
        <f t="shared" si="13"/>
        <v>0.000772337962962963</v>
      </c>
      <c r="U8" s="86">
        <f t="shared" si="14"/>
        <v>0.000772337962962963</v>
      </c>
      <c r="V8" s="84">
        <f t="shared" si="15"/>
        <v>13</v>
      </c>
      <c r="W8" s="139">
        <f t="shared" si="16"/>
        <v>13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B</v>
      </c>
      <c r="C9" s="57">
        <v>306</v>
      </c>
      <c r="D9" s="36">
        <f t="shared" si="1"/>
        <v>15767</v>
      </c>
      <c r="E9" s="37" t="str">
        <f t="shared" si="2"/>
        <v>Gregor, Roland</v>
      </c>
      <c r="F9" s="38" t="str">
        <f t="shared" si="3"/>
        <v>RST Mittelfranken</v>
      </c>
      <c r="G9" s="39" t="str">
        <f t="shared" si="4"/>
        <v>Citroen AX</v>
      </c>
      <c r="H9" s="38">
        <f t="shared" si="5"/>
        <v>1</v>
      </c>
      <c r="I9" s="137">
        <f t="shared" si="6"/>
        <v>0</v>
      </c>
      <c r="J9" s="69">
        <v>0.0007947916666666667</v>
      </c>
      <c r="K9" s="70"/>
      <c r="L9" s="42">
        <f t="shared" si="7"/>
        <v>0</v>
      </c>
      <c r="M9" s="42">
        <f t="shared" si="8"/>
        <v>0.0007947916666666667</v>
      </c>
      <c r="N9" s="89">
        <f t="shared" si="9"/>
        <v>0.0007947916666666667</v>
      </c>
      <c r="O9" s="73">
        <v>0.000783449074074074</v>
      </c>
      <c r="P9" s="74"/>
      <c r="Q9" s="42">
        <f t="shared" si="10"/>
        <v>0</v>
      </c>
      <c r="R9" s="42">
        <f t="shared" si="11"/>
        <v>0.000783449074074074</v>
      </c>
      <c r="S9" s="85">
        <f t="shared" si="12"/>
        <v>0.000783449074074074</v>
      </c>
      <c r="T9" s="82">
        <f t="shared" si="13"/>
        <v>0.000783449074074074</v>
      </c>
      <c r="U9" s="86">
        <f t="shared" si="14"/>
        <v>0.000783449074074074</v>
      </c>
      <c r="V9" s="84">
        <f t="shared" si="15"/>
        <v>10.5</v>
      </c>
      <c r="W9" s="139">
        <f t="shared" si="16"/>
        <v>10.5</v>
      </c>
      <c r="X9" s="1"/>
    </row>
    <row r="10" spans="1:24" s="33" customFormat="1" ht="15" customHeight="1">
      <c r="A10" s="45">
        <f t="shared" si="17"/>
        <v>6</v>
      </c>
      <c r="B10" s="40" t="str">
        <f t="shared" si="0"/>
        <v>B</v>
      </c>
      <c r="C10" s="57">
        <v>164</v>
      </c>
      <c r="D10" s="36">
        <f t="shared" si="1"/>
        <v>12771</v>
      </c>
      <c r="E10" s="37" t="str">
        <f t="shared" si="2"/>
        <v>Ziegler, Daniela</v>
      </c>
      <c r="F10" s="38" t="str">
        <f t="shared" si="3"/>
        <v>ASC Ansbach</v>
      </c>
      <c r="G10" s="39" t="str">
        <f t="shared" si="4"/>
        <v>Audi 50</v>
      </c>
      <c r="H10" s="38">
        <f t="shared" si="5"/>
        <v>0</v>
      </c>
      <c r="I10" s="137">
        <f t="shared" si="6"/>
        <v>1</v>
      </c>
      <c r="J10" s="69">
        <v>0.0008460648148148148</v>
      </c>
      <c r="K10" s="70"/>
      <c r="L10" s="42">
        <f t="shared" si="7"/>
        <v>0</v>
      </c>
      <c r="M10" s="42">
        <f t="shared" si="8"/>
        <v>0.0008460648148148148</v>
      </c>
      <c r="N10" s="89">
        <f t="shared" si="9"/>
        <v>0.0008460648148148148</v>
      </c>
      <c r="O10" s="73">
        <v>0.0008194444444444444</v>
      </c>
      <c r="P10" s="74"/>
      <c r="Q10" s="42">
        <f t="shared" si="10"/>
        <v>0</v>
      </c>
      <c r="R10" s="42">
        <f t="shared" si="11"/>
        <v>0.0008194444444444444</v>
      </c>
      <c r="S10" s="85">
        <f t="shared" si="12"/>
        <v>0.0008194444444444444</v>
      </c>
      <c r="T10" s="82">
        <f t="shared" si="13"/>
        <v>0.0008194444444444444</v>
      </c>
      <c r="U10" s="86">
        <f t="shared" si="14"/>
        <v>0.0008194444444444444</v>
      </c>
      <c r="V10" s="84">
        <f t="shared" si="15"/>
        <v>8</v>
      </c>
      <c r="W10" s="139">
        <f t="shared" si="16"/>
        <v>8</v>
      </c>
      <c r="X10" s="1"/>
    </row>
    <row r="11" spans="1:24" s="33" customFormat="1" ht="15" customHeight="1">
      <c r="A11" s="45">
        <f t="shared" si="17"/>
        <v>7</v>
      </c>
      <c r="B11" s="40" t="str">
        <f t="shared" si="0"/>
        <v>E</v>
      </c>
      <c r="C11" s="57">
        <v>339</v>
      </c>
      <c r="D11" s="36">
        <f t="shared" si="1"/>
        <v>0</v>
      </c>
      <c r="E11" s="37" t="str">
        <f t="shared" si="2"/>
        <v>Treiber, Timo</v>
      </c>
      <c r="F11" s="38">
        <f t="shared" si="3"/>
        <v>0</v>
      </c>
      <c r="G11" s="39" t="str">
        <f t="shared" si="4"/>
        <v>VW Polo</v>
      </c>
      <c r="H11" s="38">
        <f t="shared" si="5"/>
        <v>1</v>
      </c>
      <c r="I11" s="137">
        <f t="shared" si="6"/>
        <v>0</v>
      </c>
      <c r="J11" s="69">
        <v>0.0007810185185185186</v>
      </c>
      <c r="K11" s="70" t="s">
        <v>257</v>
      </c>
      <c r="L11" s="42">
        <f t="shared" si="7"/>
        <v>0.0002315</v>
      </c>
      <c r="M11" s="42">
        <f t="shared" si="8"/>
        <v>0.0010125185185185185</v>
      </c>
      <c r="N11" s="89">
        <f t="shared" si="9"/>
        <v>0.0010125185185185185</v>
      </c>
      <c r="O11" s="73">
        <v>0.000780324074074074</v>
      </c>
      <c r="P11" s="74">
        <v>5</v>
      </c>
      <c r="Q11" s="42">
        <f t="shared" si="10"/>
        <v>5.7875E-05</v>
      </c>
      <c r="R11" s="42">
        <f t="shared" si="11"/>
        <v>0.000838199074074074</v>
      </c>
      <c r="S11" s="85">
        <f t="shared" si="12"/>
        <v>0.000838199074074074</v>
      </c>
      <c r="T11" s="82">
        <f t="shared" si="13"/>
        <v>0.000838199074074074</v>
      </c>
      <c r="U11" s="86">
        <f t="shared" si="14"/>
        <v>0.000838199074074074</v>
      </c>
      <c r="V11" s="84">
        <f t="shared" si="15"/>
        <v>5.5</v>
      </c>
      <c r="W11" s="139">
        <f t="shared" si="16"/>
        <v>5.5</v>
      </c>
      <c r="X11" s="1"/>
    </row>
    <row r="12" spans="1:24" s="33" customFormat="1" ht="15" customHeight="1">
      <c r="A12" s="45">
        <f t="shared" si="17"/>
        <v>8</v>
      </c>
      <c r="B12" s="40" t="str">
        <f t="shared" si="0"/>
        <v>E</v>
      </c>
      <c r="C12" s="57">
        <v>223</v>
      </c>
      <c r="D12" s="36">
        <f t="shared" si="1"/>
        <v>40021</v>
      </c>
      <c r="E12" s="37" t="str">
        <f t="shared" si="2"/>
        <v>Dietrich, Roland</v>
      </c>
      <c r="F12" s="38" t="str">
        <f t="shared" si="3"/>
        <v>MSC Bechhofen</v>
      </c>
      <c r="G12" s="39" t="str">
        <f t="shared" si="4"/>
        <v>VW Polo</v>
      </c>
      <c r="H12" s="38">
        <f t="shared" si="5"/>
        <v>0</v>
      </c>
      <c r="I12" s="137">
        <f t="shared" si="6"/>
        <v>0</v>
      </c>
      <c r="J12" s="69">
        <v>0.0008212962962962964</v>
      </c>
      <c r="K12" s="70" t="s">
        <v>257</v>
      </c>
      <c r="L12" s="42">
        <f t="shared" si="7"/>
        <v>0.0002315</v>
      </c>
      <c r="M12" s="42">
        <f t="shared" si="8"/>
        <v>0.0010527962962962965</v>
      </c>
      <c r="N12" s="89">
        <f t="shared" si="9"/>
        <v>0.0010527962962962965</v>
      </c>
      <c r="O12" s="73">
        <v>0.0008061342592592594</v>
      </c>
      <c r="P12" s="74">
        <v>5</v>
      </c>
      <c r="Q12" s="42">
        <f t="shared" si="10"/>
        <v>5.7875E-05</v>
      </c>
      <c r="R12" s="42">
        <f t="shared" si="11"/>
        <v>0.0008640092592592594</v>
      </c>
      <c r="S12" s="85">
        <f t="shared" si="12"/>
        <v>0.0008640092592592594</v>
      </c>
      <c r="T12" s="82">
        <f t="shared" si="13"/>
        <v>0.0008640092592592594</v>
      </c>
      <c r="U12" s="86">
        <f t="shared" si="14"/>
        <v>0.0008640092592592594</v>
      </c>
      <c r="V12" s="84">
        <f t="shared" si="15"/>
        <v>3</v>
      </c>
      <c r="W12" s="139">
        <f t="shared" si="16"/>
        <v>3</v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36</v>
      </c>
      <c r="B2" s="50"/>
      <c r="C2" s="60"/>
      <c r="D2" s="50">
        <f>MAX(A5:A34)</f>
        <v>8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IF(ISBLANK(C5),"",IF(A5&lt;=Gold_N,Goldplakette,IF(A5&lt;=Silber_N,Silberplakette,IF(A5&lt;=Bronze_N,Bronzeplakette,Erinnerung))))</f>
        <v>G</v>
      </c>
      <c r="C5" s="56">
        <v>133</v>
      </c>
      <c r="D5" s="36">
        <f aca="true" t="shared" si="1" ref="D5:D34">IF(ISBLANK(C5),"",VLOOKUP(C5,Starter_Feld,2,FALSE))</f>
        <v>20202</v>
      </c>
      <c r="E5" s="37" t="str">
        <f aca="true" t="shared" si="2" ref="E5:E34">IF(ISBLANK(C5),"",VLOOKUP(C5,Starter_Feld,3,FALSE))</f>
        <v>Ehrngruber, Martin</v>
      </c>
      <c r="F5" s="38" t="str">
        <f aca="true" t="shared" si="3" ref="F5:F34">IF(ISBLANK(C5),"",VLOOKUP(C5,Starter_Feld,4,FALSE))</f>
        <v>MSC Jura</v>
      </c>
      <c r="G5" s="39" t="str">
        <f aca="true" t="shared" si="4" ref="G5:G34">IF(ISBLANK(C5),"",VLOOKUP(C5,Starter_Feld,5,FALSE))</f>
        <v>VW Polo GT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0.0007322916666666667</v>
      </c>
      <c r="K5" s="68"/>
      <c r="L5" s="41">
        <f aca="true" t="shared" si="7" ref="L5:L34">SUM(0.000011575*K5)</f>
        <v>0</v>
      </c>
      <c r="M5" s="41">
        <f aca="true" t="shared" si="8" ref="M5:M34">SUM(J5,L5)</f>
        <v>0.0007322916666666667</v>
      </c>
      <c r="N5" s="88">
        <f>IF(J5&lt;&gt;0,M5,"")</f>
        <v>0.0007322916666666667</v>
      </c>
      <c r="O5" s="71">
        <v>0.0007344907407407409</v>
      </c>
      <c r="P5" s="72">
        <v>5</v>
      </c>
      <c r="Q5" s="41">
        <f aca="true" t="shared" si="9" ref="Q5:Q34">SUM(0.000011575*P5)</f>
        <v>5.7875E-05</v>
      </c>
      <c r="R5" s="41">
        <f aca="true" t="shared" si="10" ref="R5:R34">SUM(O5,Q5)</f>
        <v>0.0007923657407407408</v>
      </c>
      <c r="S5" s="81">
        <f aca="true" t="shared" si="11" ref="S5:S34">IF(O5&lt;&gt;0,R5,"")</f>
        <v>0.0007923657407407408</v>
      </c>
      <c r="T5" s="82">
        <f aca="true" t="shared" si="12" ref="T5:T34">MIN(N5,S5)</f>
        <v>0.0007322916666666667</v>
      </c>
      <c r="U5" s="83">
        <f aca="true" t="shared" si="13" ref="U5:U34">IF(O5=0,"",T5)</f>
        <v>0.0007322916666666667</v>
      </c>
      <c r="V5" s="84">
        <f aca="true" t="shared" si="14" ref="V5:V34">23-(20*(A5))/D$2</f>
        <v>20.5</v>
      </c>
      <c r="W5" s="138">
        <f aca="true" t="shared" si="15" ref="W5:W34">IF(O5=0,"",V5)</f>
        <v>20.5</v>
      </c>
      <c r="X5" s="1"/>
    </row>
    <row r="6" spans="1:24" s="33" customFormat="1" ht="15" customHeight="1">
      <c r="A6" s="45">
        <f aca="true" t="shared" si="16" ref="A6:A33">IF(ISBLANK(C6),"",A5+1)</f>
        <v>2</v>
      </c>
      <c r="B6" s="40" t="str">
        <f t="shared" si="0"/>
        <v>G</v>
      </c>
      <c r="C6" s="57">
        <v>43</v>
      </c>
      <c r="D6" s="36">
        <f t="shared" si="1"/>
        <v>13065</v>
      </c>
      <c r="E6" s="37" t="str">
        <f t="shared" si="2"/>
        <v>Winter, Thomas</v>
      </c>
      <c r="F6" s="38" t="str">
        <f t="shared" si="3"/>
        <v>MSC Jura</v>
      </c>
      <c r="G6" s="39" t="str">
        <f t="shared" si="4"/>
        <v>VW Polo GT</v>
      </c>
      <c r="H6" s="38">
        <f t="shared" si="5"/>
        <v>0</v>
      </c>
      <c r="I6" s="137">
        <f t="shared" si="6"/>
        <v>0</v>
      </c>
      <c r="J6" s="69">
        <v>0.0007506944444444445</v>
      </c>
      <c r="K6" s="70"/>
      <c r="L6" s="42">
        <f t="shared" si="7"/>
        <v>0</v>
      </c>
      <c r="M6" s="42">
        <f t="shared" si="8"/>
        <v>0.0007506944444444445</v>
      </c>
      <c r="N6" s="89">
        <f>IF(J6&lt;&gt;0,M6,"")</f>
        <v>0.0007506944444444445</v>
      </c>
      <c r="O6" s="73">
        <v>0.0007395833333333333</v>
      </c>
      <c r="P6" s="74"/>
      <c r="Q6" s="42">
        <f t="shared" si="9"/>
        <v>0</v>
      </c>
      <c r="R6" s="42">
        <f t="shared" si="10"/>
        <v>0.0007395833333333333</v>
      </c>
      <c r="S6" s="85">
        <f t="shared" si="11"/>
        <v>0.0007395833333333333</v>
      </c>
      <c r="T6" s="82">
        <f t="shared" si="12"/>
        <v>0.0007395833333333333</v>
      </c>
      <c r="U6" s="86">
        <f t="shared" si="13"/>
        <v>0.0007395833333333333</v>
      </c>
      <c r="V6" s="84">
        <f t="shared" si="14"/>
        <v>18</v>
      </c>
      <c r="W6" s="139">
        <f t="shared" si="15"/>
        <v>18</v>
      </c>
      <c r="X6" s="1"/>
    </row>
    <row r="7" spans="1:24" s="33" customFormat="1" ht="15" customHeight="1">
      <c r="A7" s="45">
        <f t="shared" si="16"/>
        <v>3</v>
      </c>
      <c r="B7" s="40" t="str">
        <f t="shared" si="0"/>
        <v>S</v>
      </c>
      <c r="C7" s="57">
        <v>307</v>
      </c>
      <c r="D7" s="36">
        <f t="shared" si="1"/>
        <v>15379</v>
      </c>
      <c r="E7" s="37" t="str">
        <f t="shared" si="2"/>
        <v>Albrecht, Sven</v>
      </c>
      <c r="F7" s="38" t="str">
        <f t="shared" si="3"/>
        <v>MSC Jura</v>
      </c>
      <c r="G7" s="39" t="str">
        <f t="shared" si="4"/>
        <v>VW Polo</v>
      </c>
      <c r="H7" s="38">
        <f t="shared" si="5"/>
        <v>0</v>
      </c>
      <c r="I7" s="137">
        <f t="shared" si="6"/>
        <v>0</v>
      </c>
      <c r="J7" s="69">
        <v>0.000759837962962963</v>
      </c>
      <c r="K7" s="70"/>
      <c r="L7" s="42">
        <f t="shared" si="7"/>
        <v>0</v>
      </c>
      <c r="M7" s="42">
        <f t="shared" si="8"/>
        <v>0.000759837962962963</v>
      </c>
      <c r="N7" s="89">
        <f>IF(J7&lt;&gt;0,M7,"")</f>
        <v>0.000759837962962963</v>
      </c>
      <c r="O7" s="73">
        <v>0.0007461805555555556</v>
      </c>
      <c r="P7" s="74"/>
      <c r="Q7" s="42">
        <f t="shared" si="9"/>
        <v>0</v>
      </c>
      <c r="R7" s="42">
        <f t="shared" si="10"/>
        <v>0.0007461805555555556</v>
      </c>
      <c r="S7" s="85">
        <f t="shared" si="11"/>
        <v>0.0007461805555555556</v>
      </c>
      <c r="T7" s="82">
        <f t="shared" si="12"/>
        <v>0.0007461805555555556</v>
      </c>
      <c r="U7" s="86">
        <f t="shared" si="13"/>
        <v>0.0007461805555555556</v>
      </c>
      <c r="V7" s="84">
        <f t="shared" si="14"/>
        <v>15.5</v>
      </c>
      <c r="W7" s="139">
        <f t="shared" si="15"/>
        <v>15.5</v>
      </c>
      <c r="X7" s="1"/>
    </row>
    <row r="8" spans="1:24" s="33" customFormat="1" ht="15" customHeight="1">
      <c r="A8" s="45">
        <f t="shared" si="16"/>
        <v>4</v>
      </c>
      <c r="B8" s="40" t="str">
        <f t="shared" si="0"/>
        <v>S</v>
      </c>
      <c r="C8" s="57">
        <v>243</v>
      </c>
      <c r="D8" s="36">
        <f t="shared" si="1"/>
        <v>15480</v>
      </c>
      <c r="E8" s="37" t="str">
        <f t="shared" si="2"/>
        <v>König, Max</v>
      </c>
      <c r="F8" s="38" t="str">
        <f t="shared" si="3"/>
        <v>MSC Jura</v>
      </c>
      <c r="G8" s="39" t="str">
        <f t="shared" si="4"/>
        <v>VW Polo</v>
      </c>
      <c r="H8" s="38">
        <f t="shared" si="5"/>
        <v>0</v>
      </c>
      <c r="I8" s="137">
        <f t="shared" si="6"/>
        <v>0</v>
      </c>
      <c r="J8" s="69">
        <v>0.0007579861111111111</v>
      </c>
      <c r="K8" s="70"/>
      <c r="L8" s="42">
        <f t="shared" si="7"/>
        <v>0</v>
      </c>
      <c r="M8" s="42">
        <f t="shared" si="8"/>
        <v>0.0007579861111111111</v>
      </c>
      <c r="N8" s="89">
        <v>0.0007579861111111111</v>
      </c>
      <c r="O8" s="73">
        <v>0.0007512731481481482</v>
      </c>
      <c r="P8" s="74"/>
      <c r="Q8" s="42">
        <f t="shared" si="9"/>
        <v>0</v>
      </c>
      <c r="R8" s="42">
        <f t="shared" si="10"/>
        <v>0.0007512731481481482</v>
      </c>
      <c r="S8" s="85">
        <f t="shared" si="11"/>
        <v>0.0007512731481481482</v>
      </c>
      <c r="T8" s="82">
        <f t="shared" si="12"/>
        <v>0.0007512731481481482</v>
      </c>
      <c r="U8" s="86">
        <f t="shared" si="13"/>
        <v>0.0007512731481481482</v>
      </c>
      <c r="V8" s="84">
        <f t="shared" si="14"/>
        <v>13</v>
      </c>
      <c r="W8" s="139">
        <f t="shared" si="15"/>
        <v>13</v>
      </c>
      <c r="X8" s="1"/>
    </row>
    <row r="9" spans="1:24" s="33" customFormat="1" ht="15" customHeight="1">
      <c r="A9" s="45">
        <f t="shared" si="16"/>
        <v>5</v>
      </c>
      <c r="B9" s="40" t="str">
        <f t="shared" si="0"/>
        <v>B</v>
      </c>
      <c r="C9" s="57">
        <v>11</v>
      </c>
      <c r="D9" s="36">
        <f t="shared" si="1"/>
        <v>11136</v>
      </c>
      <c r="E9" s="37" t="str">
        <f t="shared" si="2"/>
        <v>Meyer, Martin</v>
      </c>
      <c r="F9" s="38" t="str">
        <f t="shared" si="3"/>
        <v>ASC Ansbach</v>
      </c>
      <c r="G9" s="39" t="str">
        <f t="shared" si="4"/>
        <v>VW Polo GT</v>
      </c>
      <c r="H9" s="38">
        <f t="shared" si="5"/>
        <v>0</v>
      </c>
      <c r="I9" s="137">
        <f t="shared" si="6"/>
        <v>0</v>
      </c>
      <c r="J9" s="141">
        <v>0.0007695601851851852</v>
      </c>
      <c r="K9" s="70"/>
      <c r="L9" s="42">
        <f t="shared" si="7"/>
        <v>0</v>
      </c>
      <c r="M9" s="42">
        <f t="shared" si="8"/>
        <v>0.0007695601851851852</v>
      </c>
      <c r="N9" s="89">
        <f>IF(J9&lt;&gt;0,M9,"")</f>
        <v>0.0007695601851851852</v>
      </c>
      <c r="O9" s="73">
        <v>0.0007520833333333333</v>
      </c>
      <c r="P9" s="74"/>
      <c r="Q9" s="42">
        <f t="shared" si="9"/>
        <v>0</v>
      </c>
      <c r="R9" s="42">
        <f t="shared" si="10"/>
        <v>0.0007520833333333333</v>
      </c>
      <c r="S9" s="85">
        <f t="shared" si="11"/>
        <v>0.0007520833333333333</v>
      </c>
      <c r="T9" s="82">
        <f t="shared" si="12"/>
        <v>0.0007520833333333333</v>
      </c>
      <c r="U9" s="86">
        <f t="shared" si="13"/>
        <v>0.0007520833333333333</v>
      </c>
      <c r="V9" s="84">
        <f t="shared" si="14"/>
        <v>10.5</v>
      </c>
      <c r="W9" s="139">
        <f t="shared" si="15"/>
        <v>10.5</v>
      </c>
      <c r="X9" s="1"/>
    </row>
    <row r="10" spans="1:24" s="33" customFormat="1" ht="15" customHeight="1">
      <c r="A10" s="45">
        <f t="shared" si="16"/>
        <v>6</v>
      </c>
      <c r="B10" s="40" t="str">
        <f t="shared" si="0"/>
        <v>B</v>
      </c>
      <c r="C10" s="57">
        <v>143</v>
      </c>
      <c r="D10" s="36">
        <f t="shared" si="1"/>
        <v>15479</v>
      </c>
      <c r="E10" s="37" t="str">
        <f t="shared" si="2"/>
        <v>König, Michael</v>
      </c>
      <c r="F10" s="38" t="str">
        <f t="shared" si="3"/>
        <v>MSC Jura</v>
      </c>
      <c r="G10" s="39" t="str">
        <f t="shared" si="4"/>
        <v>VW Polo</v>
      </c>
      <c r="H10" s="38">
        <f t="shared" si="5"/>
        <v>0</v>
      </c>
      <c r="I10" s="137">
        <f t="shared" si="6"/>
        <v>0</v>
      </c>
      <c r="J10" s="69">
        <v>0.0007539351851851852</v>
      </c>
      <c r="K10" s="70"/>
      <c r="L10" s="42">
        <f t="shared" si="7"/>
        <v>0</v>
      </c>
      <c r="M10" s="42">
        <f t="shared" si="8"/>
        <v>0.0007539351851851852</v>
      </c>
      <c r="N10" s="89">
        <f>IF(J10&lt;&gt;0,M10,"")</f>
        <v>0.0007539351851851852</v>
      </c>
      <c r="O10" s="73">
        <v>0.0007384259259259258</v>
      </c>
      <c r="P10" s="74">
        <v>25</v>
      </c>
      <c r="Q10" s="42">
        <f t="shared" si="9"/>
        <v>0.00028937500000000003</v>
      </c>
      <c r="R10" s="42">
        <f t="shared" si="10"/>
        <v>0.001027800925925926</v>
      </c>
      <c r="S10" s="85">
        <f t="shared" si="11"/>
        <v>0.001027800925925926</v>
      </c>
      <c r="T10" s="82">
        <f t="shared" si="12"/>
        <v>0.0007539351851851852</v>
      </c>
      <c r="U10" s="86">
        <f t="shared" si="13"/>
        <v>0.0007539351851851852</v>
      </c>
      <c r="V10" s="84">
        <f t="shared" si="14"/>
        <v>8</v>
      </c>
      <c r="W10" s="139">
        <f t="shared" si="15"/>
        <v>8</v>
      </c>
      <c r="X10" s="1"/>
    </row>
    <row r="11" spans="1:24" s="33" customFormat="1" ht="15" customHeight="1">
      <c r="A11" s="45">
        <f t="shared" si="16"/>
        <v>7</v>
      </c>
      <c r="B11" s="40" t="str">
        <f t="shared" si="0"/>
        <v>E</v>
      </c>
      <c r="C11" s="57">
        <v>127</v>
      </c>
      <c r="D11" s="36">
        <f t="shared" si="1"/>
        <v>15446</v>
      </c>
      <c r="E11" s="37" t="str">
        <f t="shared" si="2"/>
        <v>Hollweg, Harald</v>
      </c>
      <c r="F11" s="38" t="str">
        <f t="shared" si="3"/>
        <v>RST Mittelfranken</v>
      </c>
      <c r="G11" s="39" t="str">
        <f t="shared" si="4"/>
        <v>VW Polo</v>
      </c>
      <c r="H11" s="38">
        <f t="shared" si="5"/>
        <v>0</v>
      </c>
      <c r="I11" s="137">
        <f t="shared" si="6"/>
        <v>0</v>
      </c>
      <c r="J11" s="69">
        <v>0.0007744212962962964</v>
      </c>
      <c r="K11" s="70"/>
      <c r="L11" s="42">
        <f t="shared" si="7"/>
        <v>0</v>
      </c>
      <c r="M11" s="42">
        <f t="shared" si="8"/>
        <v>0.0007744212962962964</v>
      </c>
      <c r="N11" s="89">
        <f>IF(J11&lt;&gt;0,M11,"")</f>
        <v>0.0007744212962962964</v>
      </c>
      <c r="O11" s="73">
        <v>0.0007644675925925926</v>
      </c>
      <c r="P11" s="74"/>
      <c r="Q11" s="42">
        <f t="shared" si="9"/>
        <v>0</v>
      </c>
      <c r="R11" s="42">
        <f t="shared" si="10"/>
        <v>0.0007644675925925926</v>
      </c>
      <c r="S11" s="85">
        <f t="shared" si="11"/>
        <v>0.0007644675925925926</v>
      </c>
      <c r="T11" s="82">
        <f t="shared" si="12"/>
        <v>0.0007644675925925926</v>
      </c>
      <c r="U11" s="86">
        <f t="shared" si="13"/>
        <v>0.0007644675925925926</v>
      </c>
      <c r="V11" s="84">
        <f t="shared" si="14"/>
        <v>5.5</v>
      </c>
      <c r="W11" s="139">
        <f t="shared" si="15"/>
        <v>5.5</v>
      </c>
      <c r="X11" s="1"/>
    </row>
    <row r="12" spans="1:24" s="33" customFormat="1" ht="15" customHeight="1">
      <c r="A12" s="45">
        <f t="shared" si="16"/>
        <v>8</v>
      </c>
      <c r="B12" s="40" t="str">
        <f t="shared" si="0"/>
        <v>E</v>
      </c>
      <c r="C12" s="57">
        <v>112</v>
      </c>
      <c r="D12" s="36">
        <f t="shared" si="1"/>
        <v>20769</v>
      </c>
      <c r="E12" s="37" t="str">
        <f t="shared" si="2"/>
        <v>Lobenhofer, Michael</v>
      </c>
      <c r="F12" s="38" t="str">
        <f t="shared" si="3"/>
        <v>MSC Wallerberg</v>
      </c>
      <c r="G12" s="39" t="str">
        <f t="shared" si="4"/>
        <v>VW Polo</v>
      </c>
      <c r="H12" s="38">
        <f t="shared" si="5"/>
        <v>0</v>
      </c>
      <c r="I12" s="137">
        <f t="shared" si="6"/>
        <v>0</v>
      </c>
      <c r="J12" s="69">
        <v>0.0008180555555555555</v>
      </c>
      <c r="K12" s="70"/>
      <c r="L12" s="42">
        <f t="shared" si="7"/>
        <v>0</v>
      </c>
      <c r="M12" s="42">
        <f t="shared" si="8"/>
        <v>0.0008180555555555555</v>
      </c>
      <c r="N12" s="89">
        <f>IF(J12&lt;&gt;0,M12,"")</f>
        <v>0.0008180555555555555</v>
      </c>
      <c r="O12" s="73">
        <v>0.0008100694444444445</v>
      </c>
      <c r="P12" s="74"/>
      <c r="Q12" s="42">
        <f t="shared" si="9"/>
        <v>0</v>
      </c>
      <c r="R12" s="42">
        <f t="shared" si="10"/>
        <v>0.0008100694444444445</v>
      </c>
      <c r="S12" s="85">
        <f t="shared" si="11"/>
        <v>0.0008100694444444445</v>
      </c>
      <c r="T12" s="82">
        <f t="shared" si="12"/>
        <v>0.0008100694444444445</v>
      </c>
      <c r="U12" s="86">
        <f t="shared" si="13"/>
        <v>0.0008100694444444445</v>
      </c>
      <c r="V12" s="84">
        <f t="shared" si="14"/>
        <v>3</v>
      </c>
      <c r="W12" s="139">
        <f t="shared" si="15"/>
        <v>3</v>
      </c>
      <c r="X12" s="1"/>
    </row>
    <row r="13" spans="1:24" s="33" customFormat="1" ht="15" customHeight="1">
      <c r="A13" s="45">
        <f t="shared" si="16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>IF(J13&lt;&gt;0,M13,"")</f>
      </c>
      <c r="O13" s="73"/>
      <c r="P13" s="74"/>
      <c r="Q13" s="42">
        <f t="shared" si="9"/>
        <v>0</v>
      </c>
      <c r="R13" s="42">
        <f t="shared" si="10"/>
        <v>0</v>
      </c>
      <c r="S13" s="85">
        <f t="shared" si="11"/>
      </c>
      <c r="T13" s="82">
        <f t="shared" si="12"/>
        <v>0</v>
      </c>
      <c r="U13" s="86">
        <f t="shared" si="13"/>
      </c>
      <c r="V13" s="84" t="e">
        <f t="shared" si="14"/>
        <v>#VALUE!</v>
      </c>
      <c r="W13" s="139">
        <f t="shared" si="15"/>
      </c>
      <c r="X13" s="1"/>
    </row>
    <row r="14" spans="1:24" s="33" customFormat="1" ht="15" customHeight="1">
      <c r="A14" s="45">
        <f t="shared" si="16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/>
      <c r="O14" s="73"/>
      <c r="P14" s="74"/>
      <c r="Q14" s="42">
        <f t="shared" si="9"/>
        <v>0</v>
      </c>
      <c r="R14" s="42">
        <f t="shared" si="10"/>
        <v>0</v>
      </c>
      <c r="S14" s="85">
        <f t="shared" si="11"/>
      </c>
      <c r="T14" s="82">
        <f t="shared" si="12"/>
        <v>0</v>
      </c>
      <c r="U14" s="86">
        <f t="shared" si="13"/>
      </c>
      <c r="V14" s="84" t="e">
        <f t="shared" si="14"/>
        <v>#VALUE!</v>
      </c>
      <c r="W14" s="139">
        <f t="shared" si="15"/>
      </c>
      <c r="X14" s="1"/>
    </row>
    <row r="15" spans="1:24" s="33" customFormat="1" ht="15" customHeight="1">
      <c r="A15" s="45">
        <f t="shared" si="16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aca="true" t="shared" si="17" ref="N15:N34">IF(J15&lt;&gt;0,M15,"")</f>
      </c>
      <c r="O15" s="73"/>
      <c r="P15" s="74"/>
      <c r="Q15" s="42">
        <f t="shared" si="9"/>
        <v>0</v>
      </c>
      <c r="R15" s="42">
        <f t="shared" si="10"/>
        <v>0</v>
      </c>
      <c r="S15" s="85">
        <f t="shared" si="11"/>
      </c>
      <c r="T15" s="82">
        <f t="shared" si="12"/>
        <v>0</v>
      </c>
      <c r="U15" s="86">
        <f t="shared" si="13"/>
      </c>
      <c r="V15" s="84" t="e">
        <f t="shared" si="14"/>
        <v>#VALUE!</v>
      </c>
      <c r="W15" s="139">
        <f t="shared" si="15"/>
      </c>
      <c r="X15" s="1"/>
    </row>
    <row r="16" spans="1:24" s="33" customFormat="1" ht="15" customHeight="1">
      <c r="A16" s="45">
        <f t="shared" si="16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17"/>
      </c>
      <c r="O16" s="73"/>
      <c r="P16" s="74"/>
      <c r="Q16" s="42">
        <f t="shared" si="9"/>
        <v>0</v>
      </c>
      <c r="R16" s="42">
        <f t="shared" si="10"/>
        <v>0</v>
      </c>
      <c r="S16" s="85">
        <f t="shared" si="11"/>
      </c>
      <c r="T16" s="82">
        <f t="shared" si="12"/>
        <v>0</v>
      </c>
      <c r="U16" s="86">
        <f t="shared" si="13"/>
      </c>
      <c r="V16" s="84" t="e">
        <f t="shared" si="14"/>
        <v>#VALUE!</v>
      </c>
      <c r="W16" s="139">
        <f t="shared" si="15"/>
      </c>
      <c r="X16" s="1"/>
    </row>
    <row r="17" spans="1:24" s="33" customFormat="1" ht="15" customHeight="1">
      <c r="A17" s="45">
        <f t="shared" si="16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17"/>
      </c>
      <c r="O17" s="73"/>
      <c r="P17" s="74"/>
      <c r="Q17" s="42">
        <f t="shared" si="9"/>
        <v>0</v>
      </c>
      <c r="R17" s="42">
        <f t="shared" si="10"/>
        <v>0</v>
      </c>
      <c r="S17" s="85">
        <f t="shared" si="11"/>
      </c>
      <c r="T17" s="82">
        <f t="shared" si="12"/>
        <v>0</v>
      </c>
      <c r="U17" s="86">
        <f t="shared" si="13"/>
      </c>
      <c r="V17" s="84" t="e">
        <f t="shared" si="14"/>
        <v>#VALUE!</v>
      </c>
      <c r="W17" s="139">
        <f t="shared" si="15"/>
      </c>
      <c r="X17" s="1"/>
    </row>
    <row r="18" spans="1:24" s="33" customFormat="1" ht="15" customHeight="1">
      <c r="A18" s="45">
        <f t="shared" si="16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17"/>
      </c>
      <c r="O18" s="73"/>
      <c r="P18" s="74"/>
      <c r="Q18" s="42">
        <f t="shared" si="9"/>
        <v>0</v>
      </c>
      <c r="R18" s="42">
        <f t="shared" si="10"/>
        <v>0</v>
      </c>
      <c r="S18" s="85">
        <f t="shared" si="11"/>
      </c>
      <c r="T18" s="82">
        <f t="shared" si="12"/>
        <v>0</v>
      </c>
      <c r="U18" s="86">
        <f t="shared" si="13"/>
      </c>
      <c r="V18" s="84" t="e">
        <f t="shared" si="14"/>
        <v>#VALUE!</v>
      </c>
      <c r="W18" s="139">
        <f t="shared" si="15"/>
      </c>
      <c r="X18" s="1"/>
    </row>
    <row r="19" spans="1:24" s="33" customFormat="1" ht="15" customHeight="1">
      <c r="A19" s="45">
        <f t="shared" si="16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17"/>
      </c>
      <c r="O19" s="73"/>
      <c r="P19" s="74"/>
      <c r="Q19" s="42">
        <f t="shared" si="9"/>
        <v>0</v>
      </c>
      <c r="R19" s="42">
        <f t="shared" si="10"/>
        <v>0</v>
      </c>
      <c r="S19" s="85">
        <f t="shared" si="11"/>
      </c>
      <c r="T19" s="82">
        <f t="shared" si="12"/>
        <v>0</v>
      </c>
      <c r="U19" s="86">
        <f t="shared" si="13"/>
      </c>
      <c r="V19" s="84" t="e">
        <f t="shared" si="14"/>
        <v>#VALUE!</v>
      </c>
      <c r="W19" s="139">
        <f t="shared" si="15"/>
      </c>
      <c r="X19" s="1"/>
    </row>
    <row r="20" spans="1:24" s="33" customFormat="1" ht="15" customHeight="1">
      <c r="A20" s="45">
        <f t="shared" si="16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17"/>
      </c>
      <c r="O20" s="73"/>
      <c r="P20" s="74"/>
      <c r="Q20" s="42">
        <f t="shared" si="9"/>
        <v>0</v>
      </c>
      <c r="R20" s="42">
        <f t="shared" si="10"/>
        <v>0</v>
      </c>
      <c r="S20" s="85">
        <f t="shared" si="11"/>
      </c>
      <c r="T20" s="82">
        <f t="shared" si="12"/>
        <v>0</v>
      </c>
      <c r="U20" s="86">
        <f t="shared" si="13"/>
      </c>
      <c r="V20" s="84" t="e">
        <f t="shared" si="14"/>
        <v>#VALUE!</v>
      </c>
      <c r="W20" s="139">
        <f t="shared" si="15"/>
      </c>
      <c r="X20" s="1"/>
    </row>
    <row r="21" spans="1:24" s="33" customFormat="1" ht="15" customHeight="1">
      <c r="A21" s="45">
        <f t="shared" si="16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17"/>
      </c>
      <c r="O21" s="73"/>
      <c r="P21" s="74"/>
      <c r="Q21" s="42">
        <f t="shared" si="9"/>
        <v>0</v>
      </c>
      <c r="R21" s="42">
        <f t="shared" si="10"/>
        <v>0</v>
      </c>
      <c r="S21" s="85">
        <f t="shared" si="11"/>
      </c>
      <c r="T21" s="82">
        <f t="shared" si="12"/>
        <v>0</v>
      </c>
      <c r="U21" s="86">
        <f t="shared" si="13"/>
      </c>
      <c r="V21" s="84" t="e">
        <f t="shared" si="14"/>
        <v>#VALUE!</v>
      </c>
      <c r="W21" s="139">
        <f t="shared" si="15"/>
      </c>
      <c r="X21" s="1"/>
    </row>
    <row r="22" spans="1:24" s="33" customFormat="1" ht="15" customHeight="1">
      <c r="A22" s="45">
        <f t="shared" si="16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17"/>
      </c>
      <c r="O22" s="73"/>
      <c r="P22" s="74"/>
      <c r="Q22" s="42">
        <f t="shared" si="9"/>
        <v>0</v>
      </c>
      <c r="R22" s="42">
        <f t="shared" si="10"/>
        <v>0</v>
      </c>
      <c r="S22" s="85">
        <f t="shared" si="11"/>
      </c>
      <c r="T22" s="82">
        <f t="shared" si="12"/>
        <v>0</v>
      </c>
      <c r="U22" s="86">
        <f t="shared" si="13"/>
      </c>
      <c r="V22" s="84" t="e">
        <f t="shared" si="14"/>
        <v>#VALUE!</v>
      </c>
      <c r="W22" s="139">
        <f t="shared" si="15"/>
      </c>
      <c r="X22" s="1"/>
    </row>
    <row r="23" spans="1:24" s="33" customFormat="1" ht="15" customHeight="1">
      <c r="A23" s="45">
        <f t="shared" si="16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17"/>
      </c>
      <c r="O23" s="73"/>
      <c r="P23" s="74"/>
      <c r="Q23" s="42">
        <f t="shared" si="9"/>
        <v>0</v>
      </c>
      <c r="R23" s="42">
        <f t="shared" si="10"/>
        <v>0</v>
      </c>
      <c r="S23" s="85">
        <f t="shared" si="11"/>
      </c>
      <c r="T23" s="82">
        <f t="shared" si="12"/>
        <v>0</v>
      </c>
      <c r="U23" s="86">
        <f t="shared" si="13"/>
      </c>
      <c r="V23" s="84" t="e">
        <f t="shared" si="14"/>
        <v>#VALUE!</v>
      </c>
      <c r="W23" s="139">
        <f t="shared" si="15"/>
      </c>
      <c r="X23" s="1"/>
    </row>
    <row r="24" spans="1:24" s="33" customFormat="1" ht="15" customHeight="1">
      <c r="A24" s="45">
        <f t="shared" si="16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17"/>
      </c>
      <c r="O24" s="73"/>
      <c r="P24" s="74"/>
      <c r="Q24" s="42">
        <f t="shared" si="9"/>
        <v>0</v>
      </c>
      <c r="R24" s="42">
        <f t="shared" si="10"/>
        <v>0</v>
      </c>
      <c r="S24" s="85">
        <f t="shared" si="11"/>
      </c>
      <c r="T24" s="82">
        <f t="shared" si="12"/>
        <v>0</v>
      </c>
      <c r="U24" s="86">
        <f t="shared" si="13"/>
      </c>
      <c r="V24" s="84" t="e">
        <f t="shared" si="14"/>
        <v>#VALUE!</v>
      </c>
      <c r="W24" s="139">
        <f t="shared" si="15"/>
      </c>
      <c r="X24" s="1"/>
    </row>
    <row r="25" spans="1:24" s="33" customFormat="1" ht="15" customHeight="1">
      <c r="A25" s="45">
        <f t="shared" si="16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17"/>
      </c>
      <c r="O25" s="73"/>
      <c r="P25" s="74"/>
      <c r="Q25" s="42">
        <f t="shared" si="9"/>
        <v>0</v>
      </c>
      <c r="R25" s="42">
        <f t="shared" si="10"/>
        <v>0</v>
      </c>
      <c r="S25" s="85">
        <f t="shared" si="11"/>
      </c>
      <c r="T25" s="82">
        <f t="shared" si="12"/>
        <v>0</v>
      </c>
      <c r="U25" s="86">
        <f t="shared" si="13"/>
      </c>
      <c r="V25" s="84" t="e">
        <f t="shared" si="14"/>
        <v>#VALUE!</v>
      </c>
      <c r="W25" s="139">
        <f t="shared" si="15"/>
      </c>
      <c r="X25" s="1"/>
    </row>
    <row r="26" spans="1:24" s="33" customFormat="1" ht="15" customHeight="1">
      <c r="A26" s="45">
        <f t="shared" si="16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17"/>
      </c>
      <c r="O26" s="73"/>
      <c r="P26" s="74"/>
      <c r="Q26" s="42">
        <f t="shared" si="9"/>
        <v>0</v>
      </c>
      <c r="R26" s="42">
        <f t="shared" si="10"/>
        <v>0</v>
      </c>
      <c r="S26" s="85">
        <f t="shared" si="11"/>
      </c>
      <c r="T26" s="82">
        <f t="shared" si="12"/>
        <v>0</v>
      </c>
      <c r="U26" s="86">
        <f t="shared" si="13"/>
      </c>
      <c r="V26" s="84" t="e">
        <f t="shared" si="14"/>
        <v>#VALUE!</v>
      </c>
      <c r="W26" s="139">
        <f t="shared" si="15"/>
      </c>
      <c r="X26" s="1"/>
    </row>
    <row r="27" spans="1:24" s="33" customFormat="1" ht="15" customHeight="1">
      <c r="A27" s="45">
        <f t="shared" si="16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17"/>
      </c>
      <c r="O27" s="73"/>
      <c r="P27" s="74"/>
      <c r="Q27" s="42">
        <f t="shared" si="9"/>
        <v>0</v>
      </c>
      <c r="R27" s="42">
        <f t="shared" si="10"/>
        <v>0</v>
      </c>
      <c r="S27" s="85">
        <f t="shared" si="11"/>
      </c>
      <c r="T27" s="82">
        <f t="shared" si="12"/>
        <v>0</v>
      </c>
      <c r="U27" s="86">
        <f t="shared" si="13"/>
      </c>
      <c r="V27" s="84" t="e">
        <f t="shared" si="14"/>
        <v>#VALUE!</v>
      </c>
      <c r="W27" s="139">
        <f t="shared" si="15"/>
      </c>
      <c r="X27" s="1"/>
    </row>
    <row r="28" spans="1:24" s="33" customFormat="1" ht="15" customHeight="1">
      <c r="A28" s="45">
        <f t="shared" si="16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17"/>
      </c>
      <c r="O28" s="73"/>
      <c r="P28" s="74"/>
      <c r="Q28" s="42">
        <f t="shared" si="9"/>
        <v>0</v>
      </c>
      <c r="R28" s="42">
        <f t="shared" si="10"/>
        <v>0</v>
      </c>
      <c r="S28" s="85">
        <f t="shared" si="11"/>
      </c>
      <c r="T28" s="82">
        <f t="shared" si="12"/>
        <v>0</v>
      </c>
      <c r="U28" s="86">
        <f t="shared" si="13"/>
      </c>
      <c r="V28" s="84" t="e">
        <f t="shared" si="14"/>
        <v>#VALUE!</v>
      </c>
      <c r="W28" s="139">
        <f t="shared" si="15"/>
      </c>
      <c r="X28" s="1"/>
    </row>
    <row r="29" spans="1:24" s="33" customFormat="1" ht="15" customHeight="1">
      <c r="A29" s="45">
        <f t="shared" si="16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17"/>
      </c>
      <c r="O29" s="73"/>
      <c r="P29" s="74"/>
      <c r="Q29" s="42">
        <f t="shared" si="9"/>
        <v>0</v>
      </c>
      <c r="R29" s="42">
        <f t="shared" si="10"/>
        <v>0</v>
      </c>
      <c r="S29" s="85">
        <f t="shared" si="11"/>
      </c>
      <c r="T29" s="82">
        <f t="shared" si="12"/>
        <v>0</v>
      </c>
      <c r="U29" s="86">
        <f t="shared" si="13"/>
      </c>
      <c r="V29" s="84" t="e">
        <f t="shared" si="14"/>
        <v>#VALUE!</v>
      </c>
      <c r="W29" s="139">
        <f t="shared" si="15"/>
      </c>
      <c r="X29" s="1"/>
    </row>
    <row r="30" spans="1:24" s="33" customFormat="1" ht="15" customHeight="1">
      <c r="A30" s="45">
        <f t="shared" si="16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17"/>
      </c>
      <c r="O30" s="73"/>
      <c r="P30" s="74"/>
      <c r="Q30" s="42">
        <f t="shared" si="9"/>
        <v>0</v>
      </c>
      <c r="R30" s="42">
        <f t="shared" si="10"/>
        <v>0</v>
      </c>
      <c r="S30" s="85">
        <f t="shared" si="11"/>
      </c>
      <c r="T30" s="82">
        <f t="shared" si="12"/>
        <v>0</v>
      </c>
      <c r="U30" s="86">
        <f t="shared" si="13"/>
      </c>
      <c r="V30" s="84" t="e">
        <f t="shared" si="14"/>
        <v>#VALUE!</v>
      </c>
      <c r="W30" s="139">
        <f t="shared" si="15"/>
      </c>
      <c r="X30" s="1"/>
    </row>
    <row r="31" spans="1:24" s="33" customFormat="1" ht="15" customHeight="1">
      <c r="A31" s="45">
        <f t="shared" si="16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17"/>
      </c>
      <c r="O31" s="73"/>
      <c r="P31" s="74"/>
      <c r="Q31" s="42">
        <f t="shared" si="9"/>
        <v>0</v>
      </c>
      <c r="R31" s="42">
        <f t="shared" si="10"/>
        <v>0</v>
      </c>
      <c r="S31" s="85">
        <f t="shared" si="11"/>
      </c>
      <c r="T31" s="82">
        <f t="shared" si="12"/>
        <v>0</v>
      </c>
      <c r="U31" s="86">
        <f t="shared" si="13"/>
      </c>
      <c r="V31" s="84" t="e">
        <f t="shared" si="14"/>
        <v>#VALUE!</v>
      </c>
      <c r="W31" s="139">
        <f t="shared" si="15"/>
      </c>
      <c r="X31" s="1"/>
    </row>
    <row r="32" spans="1:24" s="33" customFormat="1" ht="15" customHeight="1">
      <c r="A32" s="45">
        <f t="shared" si="16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17"/>
      </c>
      <c r="O32" s="73"/>
      <c r="P32" s="74"/>
      <c r="Q32" s="42">
        <f t="shared" si="9"/>
        <v>0</v>
      </c>
      <c r="R32" s="42">
        <f t="shared" si="10"/>
        <v>0</v>
      </c>
      <c r="S32" s="85">
        <f t="shared" si="11"/>
      </c>
      <c r="T32" s="82">
        <f t="shared" si="12"/>
        <v>0</v>
      </c>
      <c r="U32" s="86">
        <f t="shared" si="13"/>
      </c>
      <c r="V32" s="84" t="e">
        <f t="shared" si="14"/>
        <v>#VALUE!</v>
      </c>
      <c r="W32" s="139">
        <f t="shared" si="15"/>
      </c>
      <c r="X32" s="1"/>
    </row>
    <row r="33" spans="1:24" s="33" customFormat="1" ht="15" customHeight="1">
      <c r="A33" s="45">
        <f t="shared" si="16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17"/>
      </c>
      <c r="O33" s="73"/>
      <c r="P33" s="74"/>
      <c r="Q33" s="42">
        <f t="shared" si="9"/>
        <v>0</v>
      </c>
      <c r="R33" s="42">
        <f t="shared" si="10"/>
        <v>0</v>
      </c>
      <c r="S33" s="85">
        <f t="shared" si="11"/>
      </c>
      <c r="T33" s="82">
        <f t="shared" si="12"/>
        <v>0</v>
      </c>
      <c r="U33" s="86">
        <f t="shared" si="13"/>
      </c>
      <c r="V33" s="84" t="e">
        <f t="shared" si="14"/>
        <v>#VALUE!</v>
      </c>
      <c r="W33" s="139">
        <f t="shared" si="15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17"/>
      </c>
      <c r="O34" s="129"/>
      <c r="P34" s="130"/>
      <c r="Q34" s="127">
        <f t="shared" si="9"/>
        <v>0</v>
      </c>
      <c r="R34" s="127">
        <f t="shared" si="10"/>
        <v>0</v>
      </c>
      <c r="S34" s="131">
        <f t="shared" si="11"/>
      </c>
      <c r="T34" s="132">
        <f t="shared" si="12"/>
        <v>0</v>
      </c>
      <c r="U34" s="133">
        <f t="shared" si="13"/>
      </c>
      <c r="V34" s="134" t="e">
        <f t="shared" si="14"/>
        <v>#VALUE!</v>
      </c>
      <c r="W34" s="140">
        <f t="shared" si="15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38</v>
      </c>
      <c r="B2" s="50"/>
      <c r="C2" s="60"/>
      <c r="D2" s="50">
        <f>MAX(A5:A34)</f>
        <v>10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IF(ISBLANK(C5),"",IF(A5&lt;=Gold_P,Goldplakette,IF(A5&lt;=Silber_P,Silberplakette,IF(A5&lt;=Bronze_P,Bronzeplakette,Erinnerung))))</f>
        <v>G</v>
      </c>
      <c r="C5" s="56">
        <v>90</v>
      </c>
      <c r="D5" s="36">
        <f aca="true" t="shared" si="1" ref="D5:D34">IF(ISBLANK(C5),"",VLOOKUP(C5,Starter_Feld,2,FALSE))</f>
        <v>13892</v>
      </c>
      <c r="E5" s="37" t="str">
        <f aca="true" t="shared" si="2" ref="E5:E34">IF(ISBLANK(C5),"",VLOOKUP(C5,Starter_Feld,3,FALSE))</f>
        <v>Schöne, Armin </v>
      </c>
      <c r="F5" s="38" t="str">
        <f aca="true" t="shared" si="3" ref="F5:F34">IF(ISBLANK(C5),"",VLOOKUP(C5,Starter_Feld,4,FALSE))</f>
        <v>FG Rhein- Main</v>
      </c>
      <c r="G5" s="39" t="str">
        <f aca="true" t="shared" si="4" ref="G5:G34">IF(ISBLANK(C5),"",VLOOKUP(C5,Starter_Feld,5,FALSE))</f>
        <v>Honda CRX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0.0007385416666666665</v>
      </c>
      <c r="K5" s="68"/>
      <c r="L5" s="41">
        <f aca="true" t="shared" si="7" ref="L5:L34">SUM(0.000011575*K5)</f>
        <v>0</v>
      </c>
      <c r="M5" s="41">
        <f aca="true" t="shared" si="8" ref="M5:M34">SUM(J5,L5)</f>
        <v>0.0007385416666666665</v>
      </c>
      <c r="N5" s="88">
        <f aca="true" t="shared" si="9" ref="N5:N34">IF(J5&lt;&gt;0,M5,"")</f>
        <v>0.0007385416666666665</v>
      </c>
      <c r="O5" s="71">
        <v>0.000729050925925926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0.000729050925925926</v>
      </c>
      <c r="S5" s="81">
        <f aca="true" t="shared" si="12" ref="S5:S34">IF(O5&lt;&gt;0,R5,"")</f>
        <v>0.000729050925925926</v>
      </c>
      <c r="T5" s="82">
        <f aca="true" t="shared" si="13" ref="T5:T34">MIN(N5,S5)</f>
        <v>0.000729050925925926</v>
      </c>
      <c r="U5" s="83">
        <f aca="true" t="shared" si="14" ref="U5:U34">IF(O5=0,"",T5)</f>
        <v>0.000729050925925926</v>
      </c>
      <c r="V5" s="84">
        <f aca="true" t="shared" si="15" ref="V5:V34">23-(20*(A5))/D$2</f>
        <v>21</v>
      </c>
      <c r="W5" s="138">
        <f aca="true" t="shared" si="16" ref="W5:W34">IF(O5=0,"",V5)</f>
        <v>21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G</v>
      </c>
      <c r="C6" s="57">
        <v>147</v>
      </c>
      <c r="D6" s="36">
        <f t="shared" si="1"/>
        <v>13610</v>
      </c>
      <c r="E6" s="37" t="str">
        <f t="shared" si="2"/>
        <v>Reihs, Patrick</v>
      </c>
      <c r="F6" s="38" t="str">
        <f t="shared" si="3"/>
        <v>MSC Bechhofen</v>
      </c>
      <c r="G6" s="39" t="str">
        <f t="shared" si="4"/>
        <v>Opel Corsa GSI</v>
      </c>
      <c r="H6" s="38">
        <f t="shared" si="5"/>
        <v>0</v>
      </c>
      <c r="I6" s="137">
        <f t="shared" si="6"/>
        <v>0</v>
      </c>
      <c r="J6" s="69">
        <v>0.0007410879629629629</v>
      </c>
      <c r="K6" s="70"/>
      <c r="L6" s="42">
        <f t="shared" si="7"/>
        <v>0</v>
      </c>
      <c r="M6" s="42">
        <f t="shared" si="8"/>
        <v>0.0007410879629629629</v>
      </c>
      <c r="N6" s="89">
        <f t="shared" si="9"/>
        <v>0.0007410879629629629</v>
      </c>
      <c r="O6" s="73">
        <v>0.0007402777777777777</v>
      </c>
      <c r="P6" s="74"/>
      <c r="Q6" s="42">
        <f t="shared" si="10"/>
        <v>0</v>
      </c>
      <c r="R6" s="42">
        <f t="shared" si="11"/>
        <v>0.0007402777777777777</v>
      </c>
      <c r="S6" s="85">
        <f t="shared" si="12"/>
        <v>0.0007402777777777777</v>
      </c>
      <c r="T6" s="82">
        <f t="shared" si="13"/>
        <v>0.0007402777777777777</v>
      </c>
      <c r="U6" s="86">
        <f t="shared" si="14"/>
        <v>0.0007402777777777777</v>
      </c>
      <c r="V6" s="84">
        <f t="shared" si="15"/>
        <v>19</v>
      </c>
      <c r="W6" s="139">
        <f t="shared" si="16"/>
        <v>19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S</v>
      </c>
      <c r="C7" s="57">
        <v>75</v>
      </c>
      <c r="D7" s="36">
        <f t="shared" si="1"/>
        <v>14912</v>
      </c>
      <c r="E7" s="37" t="str">
        <f t="shared" si="2"/>
        <v>Schnelle, Enrico</v>
      </c>
      <c r="F7" s="38" t="str">
        <f t="shared" si="3"/>
        <v>RST Mittelfranken</v>
      </c>
      <c r="G7" s="39" t="str">
        <f t="shared" si="4"/>
        <v>VW Polo 6n GTI</v>
      </c>
      <c r="H7" s="38">
        <f t="shared" si="5"/>
        <v>0</v>
      </c>
      <c r="I7" s="137">
        <f t="shared" si="6"/>
        <v>0</v>
      </c>
      <c r="J7" s="69">
        <v>0.0007690972222222222</v>
      </c>
      <c r="K7" s="70"/>
      <c r="L7" s="42">
        <f t="shared" si="7"/>
        <v>0</v>
      </c>
      <c r="M7" s="42">
        <f t="shared" si="8"/>
        <v>0.0007690972222222222</v>
      </c>
      <c r="N7" s="89">
        <f t="shared" si="9"/>
        <v>0.0007690972222222222</v>
      </c>
      <c r="O7" s="73">
        <v>0.0007405092592592593</v>
      </c>
      <c r="P7" s="74"/>
      <c r="Q7" s="42">
        <f t="shared" si="10"/>
        <v>0</v>
      </c>
      <c r="R7" s="42">
        <f t="shared" si="11"/>
        <v>0.0007405092592592593</v>
      </c>
      <c r="S7" s="85">
        <f t="shared" si="12"/>
        <v>0.0007405092592592593</v>
      </c>
      <c r="T7" s="82">
        <f t="shared" si="13"/>
        <v>0.0007405092592592593</v>
      </c>
      <c r="U7" s="86">
        <f t="shared" si="14"/>
        <v>0.0007405092592592593</v>
      </c>
      <c r="V7" s="84">
        <f t="shared" si="15"/>
        <v>17</v>
      </c>
      <c r="W7" s="139">
        <f t="shared" si="16"/>
        <v>17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S</v>
      </c>
      <c r="C8" s="57">
        <v>9</v>
      </c>
      <c r="D8" s="36">
        <f t="shared" si="1"/>
        <v>12949</v>
      </c>
      <c r="E8" s="37" t="str">
        <f t="shared" si="2"/>
        <v>Kaiser, Michael</v>
      </c>
      <c r="F8" s="38" t="str">
        <f t="shared" si="3"/>
        <v>MSC Idarwald</v>
      </c>
      <c r="G8" s="39" t="str">
        <f t="shared" si="4"/>
        <v>Honda CRX</v>
      </c>
      <c r="H8" s="38">
        <f t="shared" si="5"/>
        <v>0</v>
      </c>
      <c r="I8" s="137">
        <f t="shared" si="6"/>
        <v>0</v>
      </c>
      <c r="J8" s="69">
        <v>0.0007491898148148148</v>
      </c>
      <c r="K8" s="70"/>
      <c r="L8" s="42">
        <f t="shared" si="7"/>
        <v>0</v>
      </c>
      <c r="M8" s="42">
        <f t="shared" si="8"/>
        <v>0.0007491898148148148</v>
      </c>
      <c r="N8" s="89">
        <f t="shared" si="9"/>
        <v>0.0007491898148148148</v>
      </c>
      <c r="O8" s="73">
        <v>0.0007319444444444445</v>
      </c>
      <c r="P8" s="74">
        <v>5</v>
      </c>
      <c r="Q8" s="42">
        <f t="shared" si="10"/>
        <v>5.7875E-05</v>
      </c>
      <c r="R8" s="42">
        <f t="shared" si="11"/>
        <v>0.0007898194444444444</v>
      </c>
      <c r="S8" s="85">
        <f t="shared" si="12"/>
        <v>0.0007898194444444444</v>
      </c>
      <c r="T8" s="82">
        <f t="shared" si="13"/>
        <v>0.0007491898148148148</v>
      </c>
      <c r="U8" s="86">
        <f t="shared" si="14"/>
        <v>0.0007491898148148148</v>
      </c>
      <c r="V8" s="84">
        <f t="shared" si="15"/>
        <v>15</v>
      </c>
      <c r="W8" s="139">
        <f t="shared" si="16"/>
        <v>15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S</v>
      </c>
      <c r="C9" s="57">
        <v>488</v>
      </c>
      <c r="D9" s="36">
        <f t="shared" si="1"/>
        <v>14245</v>
      </c>
      <c r="E9" s="37" t="str">
        <f t="shared" si="2"/>
        <v>Benninghoff-Müller, Michael</v>
      </c>
      <c r="F9" s="38" t="str">
        <f t="shared" si="3"/>
        <v>MSC Idarwald</v>
      </c>
      <c r="G9" s="39" t="str">
        <f t="shared" si="4"/>
        <v>Honda CRX ED9</v>
      </c>
      <c r="H9" s="38">
        <f t="shared" si="5"/>
        <v>0</v>
      </c>
      <c r="I9" s="137">
        <f t="shared" si="6"/>
        <v>0</v>
      </c>
      <c r="J9" s="69">
        <v>0.0007574074074074075</v>
      </c>
      <c r="K9" s="70" t="s">
        <v>274</v>
      </c>
      <c r="L9" s="42">
        <f t="shared" si="7"/>
        <v>0.000173625</v>
      </c>
      <c r="M9" s="42">
        <f t="shared" si="8"/>
        <v>0.0009310324074074075</v>
      </c>
      <c r="N9" s="89">
        <f t="shared" si="9"/>
        <v>0.0009310324074074075</v>
      </c>
      <c r="O9" s="73">
        <v>0.0007671296296296297</v>
      </c>
      <c r="P9" s="74"/>
      <c r="Q9" s="42">
        <f t="shared" si="10"/>
        <v>0</v>
      </c>
      <c r="R9" s="42">
        <f t="shared" si="11"/>
        <v>0.0007671296296296297</v>
      </c>
      <c r="S9" s="85">
        <f t="shared" si="12"/>
        <v>0.0007671296296296297</v>
      </c>
      <c r="T9" s="82">
        <f t="shared" si="13"/>
        <v>0.0007671296296296297</v>
      </c>
      <c r="U9" s="86">
        <f t="shared" si="14"/>
        <v>0.0007671296296296297</v>
      </c>
      <c r="V9" s="84">
        <f t="shared" si="15"/>
        <v>13</v>
      </c>
      <c r="W9" s="139">
        <f t="shared" si="16"/>
        <v>13</v>
      </c>
      <c r="X9" s="1"/>
    </row>
    <row r="10" spans="1:24" s="33" customFormat="1" ht="15" customHeight="1">
      <c r="A10" s="45">
        <f t="shared" si="17"/>
        <v>6</v>
      </c>
      <c r="B10" s="40" t="str">
        <f t="shared" si="0"/>
        <v>B</v>
      </c>
      <c r="C10" s="57">
        <v>464</v>
      </c>
      <c r="D10" s="36">
        <f t="shared" si="1"/>
        <v>14499</v>
      </c>
      <c r="E10" s="37" t="str">
        <f t="shared" si="2"/>
        <v>Höppe Marina</v>
      </c>
      <c r="F10" s="38" t="str">
        <f t="shared" si="3"/>
        <v>RST Mittelfranken</v>
      </c>
      <c r="G10" s="39" t="str">
        <f t="shared" si="4"/>
        <v>VW Polo 6n GTI</v>
      </c>
      <c r="H10" s="38">
        <f t="shared" si="5"/>
        <v>0</v>
      </c>
      <c r="I10" s="137">
        <f t="shared" si="6"/>
        <v>1</v>
      </c>
      <c r="J10" s="69">
        <v>0.0007672453703703704</v>
      </c>
      <c r="K10" s="70"/>
      <c r="L10" s="42">
        <f t="shared" si="7"/>
        <v>0</v>
      </c>
      <c r="M10" s="42">
        <f t="shared" si="8"/>
        <v>0.0007672453703703704</v>
      </c>
      <c r="N10" s="89">
        <f t="shared" si="9"/>
        <v>0.0007672453703703704</v>
      </c>
      <c r="O10" s="73">
        <v>0.0007542824074074075</v>
      </c>
      <c r="P10" s="74">
        <v>5</v>
      </c>
      <c r="Q10" s="42">
        <f t="shared" si="10"/>
        <v>5.7875E-05</v>
      </c>
      <c r="R10" s="42">
        <f t="shared" si="11"/>
        <v>0.0008121574074074075</v>
      </c>
      <c r="S10" s="85">
        <f t="shared" si="12"/>
        <v>0.0008121574074074075</v>
      </c>
      <c r="T10" s="82">
        <f t="shared" si="13"/>
        <v>0.0007672453703703704</v>
      </c>
      <c r="U10" s="86">
        <f t="shared" si="14"/>
        <v>0.0007672453703703704</v>
      </c>
      <c r="V10" s="84">
        <f t="shared" si="15"/>
        <v>11</v>
      </c>
      <c r="W10" s="139">
        <f t="shared" si="16"/>
        <v>11</v>
      </c>
      <c r="X10" s="1"/>
    </row>
    <row r="11" spans="1:24" s="33" customFormat="1" ht="15" customHeight="1">
      <c r="A11" s="45">
        <f t="shared" si="17"/>
        <v>7</v>
      </c>
      <c r="B11" s="40" t="str">
        <f t="shared" si="0"/>
        <v>B</v>
      </c>
      <c r="C11" s="57">
        <v>149</v>
      </c>
      <c r="D11" s="36">
        <f t="shared" si="1"/>
        <v>14907</v>
      </c>
      <c r="E11" s="37" t="str">
        <f t="shared" si="2"/>
        <v>Linke, Olaf</v>
      </c>
      <c r="F11" s="38" t="str">
        <f t="shared" si="3"/>
        <v>MSC Bechhofen</v>
      </c>
      <c r="G11" s="39" t="str">
        <f t="shared" si="4"/>
        <v>Opel Corsa GSI</v>
      </c>
      <c r="H11" s="38">
        <f t="shared" si="5"/>
        <v>0</v>
      </c>
      <c r="I11" s="137">
        <f t="shared" si="6"/>
        <v>0</v>
      </c>
      <c r="J11" s="69">
        <v>0.0007774305555555555</v>
      </c>
      <c r="K11" s="70"/>
      <c r="L11" s="42">
        <f t="shared" si="7"/>
        <v>0</v>
      </c>
      <c r="M11" s="42">
        <f t="shared" si="8"/>
        <v>0.0007774305555555555</v>
      </c>
      <c r="N11" s="89">
        <f t="shared" si="9"/>
        <v>0.0007774305555555555</v>
      </c>
      <c r="O11" s="73">
        <v>0.000771412037037037</v>
      </c>
      <c r="P11" s="74"/>
      <c r="Q11" s="42">
        <f t="shared" si="10"/>
        <v>0</v>
      </c>
      <c r="R11" s="42">
        <f t="shared" si="11"/>
        <v>0.000771412037037037</v>
      </c>
      <c r="S11" s="85">
        <f t="shared" si="12"/>
        <v>0.000771412037037037</v>
      </c>
      <c r="T11" s="82">
        <f t="shared" si="13"/>
        <v>0.000771412037037037</v>
      </c>
      <c r="U11" s="86">
        <f t="shared" si="14"/>
        <v>0.000771412037037037</v>
      </c>
      <c r="V11" s="84">
        <f t="shared" si="15"/>
        <v>9</v>
      </c>
      <c r="W11" s="139">
        <f t="shared" si="16"/>
        <v>9</v>
      </c>
      <c r="X11" s="1"/>
    </row>
    <row r="12" spans="1:24" s="33" customFormat="1" ht="15" customHeight="1">
      <c r="A12" s="45">
        <f t="shared" si="17"/>
        <v>8</v>
      </c>
      <c r="B12" s="40" t="str">
        <f t="shared" si="0"/>
        <v>B</v>
      </c>
      <c r="C12" s="57">
        <v>169</v>
      </c>
      <c r="D12" s="36">
        <f t="shared" si="1"/>
        <v>13583</v>
      </c>
      <c r="E12" s="37" t="str">
        <f t="shared" si="2"/>
        <v>Reihs, Michael</v>
      </c>
      <c r="F12" s="38" t="str">
        <f t="shared" si="3"/>
        <v>MSC Bechhofen</v>
      </c>
      <c r="G12" s="39" t="str">
        <f t="shared" si="4"/>
        <v>Fiat Panda</v>
      </c>
      <c r="H12" s="38">
        <f t="shared" si="5"/>
        <v>1</v>
      </c>
      <c r="I12" s="137">
        <f t="shared" si="6"/>
        <v>0</v>
      </c>
      <c r="J12" s="69">
        <v>0.0008094907407407407</v>
      </c>
      <c r="K12" s="70"/>
      <c r="L12" s="42">
        <f t="shared" si="7"/>
        <v>0</v>
      </c>
      <c r="M12" s="42">
        <f t="shared" si="8"/>
        <v>0.0008094907407407407</v>
      </c>
      <c r="N12" s="89">
        <f t="shared" si="9"/>
        <v>0.0008094907407407407</v>
      </c>
      <c r="O12" s="73">
        <v>0.0007934027777777779</v>
      </c>
      <c r="P12" s="74"/>
      <c r="Q12" s="42">
        <f t="shared" si="10"/>
        <v>0</v>
      </c>
      <c r="R12" s="42">
        <f t="shared" si="11"/>
        <v>0.0007934027777777779</v>
      </c>
      <c r="S12" s="85">
        <f t="shared" si="12"/>
        <v>0.0007934027777777779</v>
      </c>
      <c r="T12" s="82">
        <f t="shared" si="13"/>
        <v>0.0007934027777777779</v>
      </c>
      <c r="U12" s="86">
        <f t="shared" si="14"/>
        <v>0.0007934027777777779</v>
      </c>
      <c r="V12" s="84">
        <f t="shared" si="15"/>
        <v>7</v>
      </c>
      <c r="W12" s="139">
        <f t="shared" si="16"/>
        <v>7</v>
      </c>
      <c r="X12" s="1"/>
    </row>
    <row r="13" spans="1:24" s="33" customFormat="1" ht="15" customHeight="1">
      <c r="A13" s="45">
        <f t="shared" si="17"/>
        <v>9</v>
      </c>
      <c r="B13" s="40" t="str">
        <f t="shared" si="0"/>
        <v>E</v>
      </c>
      <c r="C13" s="57">
        <v>489</v>
      </c>
      <c r="D13" s="36">
        <f t="shared" si="1"/>
        <v>15893</v>
      </c>
      <c r="E13" s="37" t="str">
        <f t="shared" si="2"/>
        <v>Müller, Martin</v>
      </c>
      <c r="F13" s="38" t="str">
        <f t="shared" si="3"/>
        <v>MSC Idarwald</v>
      </c>
      <c r="G13" s="39" t="str">
        <f t="shared" si="4"/>
        <v>Honda CRX ED9</v>
      </c>
      <c r="H13" s="38">
        <f t="shared" si="5"/>
        <v>0</v>
      </c>
      <c r="I13" s="137">
        <f t="shared" si="6"/>
        <v>0</v>
      </c>
      <c r="J13" s="141">
        <v>0.0008017361111111111</v>
      </c>
      <c r="K13" s="70"/>
      <c r="L13" s="42">
        <f t="shared" si="7"/>
        <v>0</v>
      </c>
      <c r="M13" s="42">
        <f t="shared" si="8"/>
        <v>0.0008017361111111111</v>
      </c>
      <c r="N13" s="89">
        <f t="shared" si="9"/>
        <v>0.0008017361111111111</v>
      </c>
      <c r="O13" s="73">
        <v>0.0008824074074074074</v>
      </c>
      <c r="P13" s="74">
        <v>20</v>
      </c>
      <c r="Q13" s="42">
        <f t="shared" si="10"/>
        <v>0.0002315</v>
      </c>
      <c r="R13" s="42">
        <f t="shared" si="11"/>
        <v>0.0011139074074074074</v>
      </c>
      <c r="S13" s="85">
        <f t="shared" si="12"/>
        <v>0.0011139074074074074</v>
      </c>
      <c r="T13" s="82">
        <f t="shared" si="13"/>
        <v>0.0008017361111111111</v>
      </c>
      <c r="U13" s="86">
        <f t="shared" si="14"/>
        <v>0.0008017361111111111</v>
      </c>
      <c r="V13" s="84">
        <f t="shared" si="15"/>
        <v>5</v>
      </c>
      <c r="W13" s="139">
        <f t="shared" si="16"/>
        <v>5</v>
      </c>
      <c r="X13" s="1"/>
    </row>
    <row r="14" spans="1:24" s="33" customFormat="1" ht="15" customHeight="1">
      <c r="A14" s="45">
        <f t="shared" si="17"/>
        <v>10</v>
      </c>
      <c r="B14" s="40" t="str">
        <f t="shared" si="0"/>
        <v>E</v>
      </c>
      <c r="C14" s="57">
        <v>89</v>
      </c>
      <c r="D14" s="36">
        <f t="shared" si="1"/>
        <v>12129</v>
      </c>
      <c r="E14" s="37" t="str">
        <f t="shared" si="2"/>
        <v>Klar, Thomas</v>
      </c>
      <c r="F14" s="38" t="str">
        <f t="shared" si="3"/>
        <v>SFG Südhessen</v>
      </c>
      <c r="G14" s="39" t="str">
        <f t="shared" si="4"/>
        <v>Ford Puma</v>
      </c>
      <c r="H14" s="38">
        <f t="shared" si="5"/>
        <v>0</v>
      </c>
      <c r="I14" s="137">
        <f t="shared" si="6"/>
        <v>0</v>
      </c>
      <c r="J14" s="69">
        <v>0.0008068287037037037</v>
      </c>
      <c r="K14" s="70"/>
      <c r="L14" s="42">
        <f t="shared" si="7"/>
        <v>0</v>
      </c>
      <c r="M14" s="42">
        <f t="shared" si="8"/>
        <v>0.0008068287037037037</v>
      </c>
      <c r="N14" s="89">
        <f t="shared" si="9"/>
        <v>0.0008068287037037037</v>
      </c>
      <c r="O14" s="73">
        <v>0.0008053240740740741</v>
      </c>
      <c r="P14" s="74"/>
      <c r="Q14" s="42">
        <f t="shared" si="10"/>
        <v>0</v>
      </c>
      <c r="R14" s="42">
        <f t="shared" si="11"/>
        <v>0.0008053240740740741</v>
      </c>
      <c r="S14" s="85">
        <f t="shared" si="12"/>
        <v>0.0008053240740740741</v>
      </c>
      <c r="T14" s="82">
        <f t="shared" si="13"/>
        <v>0.0008053240740740741</v>
      </c>
      <c r="U14" s="86">
        <f t="shared" si="14"/>
        <v>0.0008053240740740741</v>
      </c>
      <c r="V14" s="84">
        <f t="shared" si="15"/>
        <v>3</v>
      </c>
      <c r="W14" s="139">
        <f t="shared" si="16"/>
        <v>3</v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39</v>
      </c>
      <c r="B2" s="50"/>
      <c r="C2" s="60"/>
      <c r="D2" s="50">
        <f>MAX(A5:A34)</f>
        <v>15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IF(ISBLANK(C5),"",IF(A5&lt;=Gold_Q,Goldplakette,IF(A5&lt;=Silber_Q,Silberplakette,IF(A5&lt;=Bronze_Q,Bronzeplakette,Erinnerung))))</f>
        <v>G</v>
      </c>
      <c r="C5" s="56">
        <v>212</v>
      </c>
      <c r="D5" s="36">
        <f aca="true" t="shared" si="1" ref="D5:D34">IF(ISBLANK(C5),"",VLOOKUP(C5,Starter_Feld,2,FALSE))</f>
        <v>12864</v>
      </c>
      <c r="E5" s="37" t="str">
        <f aca="true" t="shared" si="2" ref="E5:E34">IF(ISBLANK(C5),"",VLOOKUP(C5,Starter_Feld,3,FALSE))</f>
        <v>Enderlein, Tobias</v>
      </c>
      <c r="F5" s="38" t="str">
        <f aca="true" t="shared" si="3" ref="F5:F34">IF(ISBLANK(C5),"",VLOOKUP(C5,Starter_Feld,4,FALSE))</f>
        <v>MSC Jura</v>
      </c>
      <c r="G5" s="39" t="str">
        <f aca="true" t="shared" si="4" ref="G5:G34">IF(ISBLANK(C5),"",VLOOKUP(C5,Starter_Feld,5,FALSE))</f>
        <v>Opel Kadett C 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163">
        <v>0.0006908564814814815</v>
      </c>
      <c r="K5" s="68"/>
      <c r="L5" s="41">
        <f aca="true" t="shared" si="7" ref="L5:L34">SUM(0.000011575*K5)</f>
        <v>0</v>
      </c>
      <c r="M5" s="41">
        <f aca="true" t="shared" si="8" ref="M5:M34">SUM(J5,L5)</f>
        <v>0.0006908564814814815</v>
      </c>
      <c r="N5" s="88">
        <f aca="true" t="shared" si="9" ref="N5:N34">IF(J5&lt;&gt;0,M5,"")</f>
        <v>0.0006908564814814815</v>
      </c>
      <c r="O5" s="71">
        <v>0.0006957175925925925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0.0006957175925925925</v>
      </c>
      <c r="S5" s="81">
        <f aca="true" t="shared" si="12" ref="S5:S34">IF(O5&lt;&gt;0,R5,"")</f>
        <v>0.0006957175925925925</v>
      </c>
      <c r="T5" s="82">
        <f aca="true" t="shared" si="13" ref="T5:T34">MIN(N5,S5)</f>
        <v>0.0006908564814814815</v>
      </c>
      <c r="U5" s="83">
        <f aca="true" t="shared" si="14" ref="U5:U34">IF(O5=0,"",T5)</f>
        <v>0.0006908564814814815</v>
      </c>
      <c r="V5" s="84">
        <f aca="true" t="shared" si="15" ref="V5:V34">23-(20*(A5))/D$2</f>
        <v>21.666666666666668</v>
      </c>
      <c r="W5" s="138">
        <f aca="true" t="shared" si="16" ref="W5:W34">IF(O5=0,"",V5)</f>
        <v>21.666666666666668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G</v>
      </c>
      <c r="C6" s="57">
        <v>84</v>
      </c>
      <c r="D6" s="36">
        <f t="shared" si="1"/>
        <v>14551</v>
      </c>
      <c r="E6" s="37" t="str">
        <f t="shared" si="2"/>
        <v>Hecht, Heiko</v>
      </c>
      <c r="F6" s="38" t="str">
        <f t="shared" si="3"/>
        <v>GP-Power</v>
      </c>
      <c r="G6" s="39" t="str">
        <f t="shared" si="4"/>
        <v>BMW 318is</v>
      </c>
      <c r="H6" s="38">
        <f t="shared" si="5"/>
        <v>0</v>
      </c>
      <c r="I6" s="137">
        <f t="shared" si="6"/>
        <v>0</v>
      </c>
      <c r="J6" s="69">
        <v>0.0007238425925925927</v>
      </c>
      <c r="K6" s="70"/>
      <c r="L6" s="42">
        <f t="shared" si="7"/>
        <v>0</v>
      </c>
      <c r="M6" s="42">
        <f t="shared" si="8"/>
        <v>0.0007238425925925927</v>
      </c>
      <c r="N6" s="89">
        <f t="shared" si="9"/>
        <v>0.0007238425925925927</v>
      </c>
      <c r="O6" s="73">
        <v>0.0007016203703703704</v>
      </c>
      <c r="P6" s="74"/>
      <c r="Q6" s="42">
        <f t="shared" si="10"/>
        <v>0</v>
      </c>
      <c r="R6" s="42">
        <f t="shared" si="11"/>
        <v>0.0007016203703703704</v>
      </c>
      <c r="S6" s="85">
        <f t="shared" si="12"/>
        <v>0.0007016203703703704</v>
      </c>
      <c r="T6" s="82">
        <f t="shared" si="13"/>
        <v>0.0007016203703703704</v>
      </c>
      <c r="U6" s="86">
        <f t="shared" si="14"/>
        <v>0.0007016203703703704</v>
      </c>
      <c r="V6" s="84">
        <f t="shared" si="15"/>
        <v>20.333333333333332</v>
      </c>
      <c r="W6" s="139">
        <f t="shared" si="16"/>
        <v>20.333333333333332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G</v>
      </c>
      <c r="C7" s="57">
        <v>214</v>
      </c>
      <c r="D7" s="36">
        <f t="shared" si="1"/>
        <v>15034</v>
      </c>
      <c r="E7" s="37" t="str">
        <f t="shared" si="2"/>
        <v>Bittner, Matthias</v>
      </c>
      <c r="F7" s="38" t="str">
        <f t="shared" si="3"/>
        <v>MSC Jura</v>
      </c>
      <c r="G7" s="39" t="str">
        <f t="shared" si="4"/>
        <v>Opel Kadett C </v>
      </c>
      <c r="H7" s="38">
        <f t="shared" si="5"/>
        <v>0</v>
      </c>
      <c r="I7" s="137">
        <f t="shared" si="6"/>
        <v>0</v>
      </c>
      <c r="J7" s="69">
        <v>0.0007001157407407407</v>
      </c>
      <c r="K7" s="70" t="s">
        <v>47</v>
      </c>
      <c r="L7" s="42">
        <f t="shared" si="7"/>
        <v>5.7875E-05</v>
      </c>
      <c r="M7" s="42">
        <f t="shared" si="8"/>
        <v>0.0007579907407407407</v>
      </c>
      <c r="N7" s="89">
        <f t="shared" si="9"/>
        <v>0.0007579907407407407</v>
      </c>
      <c r="O7" s="73">
        <v>0.0007146990740740741</v>
      </c>
      <c r="P7" s="74"/>
      <c r="Q7" s="42">
        <f t="shared" si="10"/>
        <v>0</v>
      </c>
      <c r="R7" s="42">
        <f t="shared" si="11"/>
        <v>0.0007146990740740741</v>
      </c>
      <c r="S7" s="85">
        <f t="shared" si="12"/>
        <v>0.0007146990740740741</v>
      </c>
      <c r="T7" s="82">
        <f t="shared" si="13"/>
        <v>0.0007146990740740741</v>
      </c>
      <c r="U7" s="86">
        <f t="shared" si="14"/>
        <v>0.0007146990740740741</v>
      </c>
      <c r="V7" s="84">
        <f t="shared" si="15"/>
        <v>19</v>
      </c>
      <c r="W7" s="139">
        <f t="shared" si="16"/>
        <v>19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S</v>
      </c>
      <c r="C8" s="57">
        <v>49</v>
      </c>
      <c r="D8" s="36">
        <f t="shared" si="1"/>
        <v>13940</v>
      </c>
      <c r="E8" s="37" t="str">
        <f t="shared" si="2"/>
        <v>Hoffmann, Rainer</v>
      </c>
      <c r="F8" s="38" t="str">
        <f t="shared" si="3"/>
        <v>ASC Ansbach</v>
      </c>
      <c r="G8" s="39" t="str">
        <f t="shared" si="4"/>
        <v>BMW 318 is</v>
      </c>
      <c r="H8" s="38">
        <f t="shared" si="5"/>
        <v>0</v>
      </c>
      <c r="I8" s="137">
        <f t="shared" si="6"/>
        <v>0</v>
      </c>
      <c r="J8" s="69">
        <v>0.000739699074074074</v>
      </c>
      <c r="K8" s="70"/>
      <c r="L8" s="42">
        <f t="shared" si="7"/>
        <v>0</v>
      </c>
      <c r="M8" s="42">
        <f t="shared" si="8"/>
        <v>0.000739699074074074</v>
      </c>
      <c r="N8" s="89">
        <f t="shared" si="9"/>
        <v>0.000739699074074074</v>
      </c>
      <c r="O8" s="73">
        <v>0.0007266203703703704</v>
      </c>
      <c r="P8" s="74"/>
      <c r="Q8" s="42">
        <f t="shared" si="10"/>
        <v>0</v>
      </c>
      <c r="R8" s="42">
        <f t="shared" si="11"/>
        <v>0.0007266203703703704</v>
      </c>
      <c r="S8" s="85">
        <f t="shared" si="12"/>
        <v>0.0007266203703703704</v>
      </c>
      <c r="T8" s="82">
        <f t="shared" si="13"/>
        <v>0.0007266203703703704</v>
      </c>
      <c r="U8" s="86">
        <f t="shared" si="14"/>
        <v>0.0007266203703703704</v>
      </c>
      <c r="V8" s="84">
        <f t="shared" si="15"/>
        <v>17.666666666666668</v>
      </c>
      <c r="W8" s="139">
        <f t="shared" si="16"/>
        <v>17.666666666666668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S</v>
      </c>
      <c r="C9" s="57">
        <v>249</v>
      </c>
      <c r="D9" s="36">
        <f t="shared" si="1"/>
        <v>15179</v>
      </c>
      <c r="E9" s="37" t="str">
        <f t="shared" si="2"/>
        <v>Hoffmann, Philipp</v>
      </c>
      <c r="F9" s="38" t="str">
        <f t="shared" si="3"/>
        <v>ASC Ansbach</v>
      </c>
      <c r="G9" s="39" t="str">
        <f t="shared" si="4"/>
        <v>BMW 318 is</v>
      </c>
      <c r="H9" s="38">
        <f t="shared" si="5"/>
        <v>0</v>
      </c>
      <c r="I9" s="137">
        <f t="shared" si="6"/>
        <v>0</v>
      </c>
      <c r="J9" s="69">
        <v>0.0007457175925925926</v>
      </c>
      <c r="K9" s="70"/>
      <c r="L9" s="42">
        <f t="shared" si="7"/>
        <v>0</v>
      </c>
      <c r="M9" s="42">
        <f t="shared" si="8"/>
        <v>0.0007457175925925926</v>
      </c>
      <c r="N9" s="89">
        <f t="shared" si="9"/>
        <v>0.0007457175925925926</v>
      </c>
      <c r="O9" s="73">
        <v>0.0007273148148148148</v>
      </c>
      <c r="P9" s="74"/>
      <c r="Q9" s="42">
        <f t="shared" si="10"/>
        <v>0</v>
      </c>
      <c r="R9" s="42">
        <f t="shared" si="11"/>
        <v>0.0007273148148148148</v>
      </c>
      <c r="S9" s="85">
        <f t="shared" si="12"/>
        <v>0.0007273148148148148</v>
      </c>
      <c r="T9" s="82">
        <f t="shared" si="13"/>
        <v>0.0007273148148148148</v>
      </c>
      <c r="U9" s="86">
        <f t="shared" si="14"/>
        <v>0.0007273148148148148</v>
      </c>
      <c r="V9" s="84">
        <f t="shared" si="15"/>
        <v>16.333333333333332</v>
      </c>
      <c r="W9" s="139">
        <f t="shared" si="16"/>
        <v>16.333333333333332</v>
      </c>
      <c r="X9" s="1"/>
    </row>
    <row r="10" spans="1:24" s="33" customFormat="1" ht="15" customHeight="1">
      <c r="A10" s="45">
        <f t="shared" si="17"/>
        <v>6</v>
      </c>
      <c r="B10" s="40" t="str">
        <f t="shared" si="0"/>
        <v>S</v>
      </c>
      <c r="C10" s="57">
        <v>2</v>
      </c>
      <c r="D10" s="36">
        <f t="shared" si="1"/>
        <v>14885</v>
      </c>
      <c r="E10" s="37" t="str">
        <f t="shared" si="2"/>
        <v>Endres, Oliver</v>
      </c>
      <c r="F10" s="38" t="str">
        <f t="shared" si="3"/>
        <v>RST Mittelfranken</v>
      </c>
      <c r="G10" s="39" t="str">
        <f t="shared" si="4"/>
        <v>BMW 318 TI</v>
      </c>
      <c r="H10" s="38">
        <f t="shared" si="5"/>
        <v>0</v>
      </c>
      <c r="I10" s="137">
        <f t="shared" si="6"/>
        <v>0</v>
      </c>
      <c r="J10" s="69">
        <v>0.0007520833333333333</v>
      </c>
      <c r="K10" s="70"/>
      <c r="L10" s="42">
        <f t="shared" si="7"/>
        <v>0</v>
      </c>
      <c r="M10" s="42">
        <f t="shared" si="8"/>
        <v>0.0007520833333333333</v>
      </c>
      <c r="N10" s="89">
        <f t="shared" si="9"/>
        <v>0.0007520833333333333</v>
      </c>
      <c r="O10" s="73">
        <v>0.0007408564814814816</v>
      </c>
      <c r="P10" s="74"/>
      <c r="Q10" s="42">
        <f t="shared" si="10"/>
        <v>0</v>
      </c>
      <c r="R10" s="42">
        <f t="shared" si="11"/>
        <v>0.0007408564814814816</v>
      </c>
      <c r="S10" s="85">
        <f t="shared" si="12"/>
        <v>0.0007408564814814816</v>
      </c>
      <c r="T10" s="82">
        <f t="shared" si="13"/>
        <v>0.0007408564814814816</v>
      </c>
      <c r="U10" s="86">
        <f t="shared" si="14"/>
        <v>0.0007408564814814816</v>
      </c>
      <c r="V10" s="84">
        <f t="shared" si="15"/>
        <v>15</v>
      </c>
      <c r="W10" s="139">
        <f t="shared" si="16"/>
        <v>15</v>
      </c>
      <c r="X10" s="1"/>
    </row>
    <row r="11" spans="1:24" s="33" customFormat="1" ht="15" customHeight="1">
      <c r="A11" s="45">
        <f t="shared" si="17"/>
        <v>7</v>
      </c>
      <c r="B11" s="40" t="str">
        <f t="shared" si="0"/>
        <v>S</v>
      </c>
      <c r="C11" s="57">
        <v>349</v>
      </c>
      <c r="D11" s="36">
        <f t="shared" si="1"/>
        <v>13782</v>
      </c>
      <c r="E11" s="37" t="str">
        <f t="shared" si="2"/>
        <v>Semlinger, Christian</v>
      </c>
      <c r="F11" s="38" t="str">
        <f t="shared" si="3"/>
        <v>MSC Bechhofen</v>
      </c>
      <c r="G11" s="39" t="str">
        <f t="shared" si="4"/>
        <v>BMW E30 318is</v>
      </c>
      <c r="H11" s="38">
        <f t="shared" si="5"/>
        <v>0</v>
      </c>
      <c r="I11" s="137">
        <f t="shared" si="6"/>
        <v>0</v>
      </c>
      <c r="J11" s="69">
        <v>0.0007439814814814814</v>
      </c>
      <c r="K11" s="70" t="s">
        <v>256</v>
      </c>
      <c r="L11" s="42">
        <f t="shared" si="7"/>
        <v>0.00011575</v>
      </c>
      <c r="M11" s="42">
        <f t="shared" si="8"/>
        <v>0.0008597314814814814</v>
      </c>
      <c r="N11" s="89">
        <f t="shared" si="9"/>
        <v>0.0008597314814814814</v>
      </c>
      <c r="O11" s="73">
        <v>0.0007443287037037038</v>
      </c>
      <c r="P11" s="74"/>
      <c r="Q11" s="42">
        <f t="shared" si="10"/>
        <v>0</v>
      </c>
      <c r="R11" s="42">
        <f t="shared" si="11"/>
        <v>0.0007443287037037038</v>
      </c>
      <c r="S11" s="85">
        <f t="shared" si="12"/>
        <v>0.0007443287037037038</v>
      </c>
      <c r="T11" s="82">
        <f t="shared" si="13"/>
        <v>0.0007443287037037038</v>
      </c>
      <c r="U11" s="86">
        <f t="shared" si="14"/>
        <v>0.0007443287037037038</v>
      </c>
      <c r="V11" s="84">
        <f t="shared" si="15"/>
        <v>13.666666666666666</v>
      </c>
      <c r="W11" s="139">
        <f t="shared" si="16"/>
        <v>13.666666666666666</v>
      </c>
      <c r="X11" s="1"/>
    </row>
    <row r="12" spans="1:24" s="33" customFormat="1" ht="15" customHeight="1">
      <c r="A12" s="45">
        <f t="shared" si="17"/>
        <v>8</v>
      </c>
      <c r="B12" s="40" t="str">
        <f t="shared" si="0"/>
        <v>B</v>
      </c>
      <c r="C12" s="57">
        <v>215</v>
      </c>
      <c r="D12" s="36">
        <f t="shared" si="1"/>
        <v>14253</v>
      </c>
      <c r="E12" s="37" t="str">
        <f t="shared" si="2"/>
        <v>Knorr, Christopher</v>
      </c>
      <c r="F12" s="38" t="str">
        <f t="shared" si="3"/>
        <v>MSC Jura</v>
      </c>
      <c r="G12" s="39" t="str">
        <f t="shared" si="4"/>
        <v>Opel Kadett C</v>
      </c>
      <c r="H12" s="38">
        <f t="shared" si="5"/>
        <v>0</v>
      </c>
      <c r="I12" s="137">
        <f t="shared" si="6"/>
        <v>0</v>
      </c>
      <c r="J12" s="69">
        <v>0.0007465277777777778</v>
      </c>
      <c r="K12" s="70" t="s">
        <v>274</v>
      </c>
      <c r="L12" s="42">
        <f t="shared" si="7"/>
        <v>0.000173625</v>
      </c>
      <c r="M12" s="42">
        <f t="shared" si="8"/>
        <v>0.0009201527777777778</v>
      </c>
      <c r="N12" s="89">
        <f t="shared" si="9"/>
        <v>0.0009201527777777778</v>
      </c>
      <c r="O12" s="73">
        <v>0.0007452546296296296</v>
      </c>
      <c r="P12" s="74"/>
      <c r="Q12" s="42">
        <f t="shared" si="10"/>
        <v>0</v>
      </c>
      <c r="R12" s="42">
        <f t="shared" si="11"/>
        <v>0.0007452546296296296</v>
      </c>
      <c r="S12" s="85">
        <f t="shared" si="12"/>
        <v>0.0007452546296296296</v>
      </c>
      <c r="T12" s="82">
        <f t="shared" si="13"/>
        <v>0.0007452546296296296</v>
      </c>
      <c r="U12" s="86">
        <f t="shared" si="14"/>
        <v>0.0007452546296296296</v>
      </c>
      <c r="V12" s="84">
        <f t="shared" si="15"/>
        <v>12.333333333333334</v>
      </c>
      <c r="W12" s="139">
        <f t="shared" si="16"/>
        <v>12.333333333333334</v>
      </c>
      <c r="X12" s="1"/>
    </row>
    <row r="13" spans="1:24" s="33" customFormat="1" ht="15" customHeight="1">
      <c r="A13" s="45">
        <f t="shared" si="17"/>
        <v>9</v>
      </c>
      <c r="B13" s="40" t="str">
        <f t="shared" si="0"/>
        <v>B</v>
      </c>
      <c r="C13" s="57">
        <v>1600</v>
      </c>
      <c r="D13" s="36">
        <f t="shared" si="1"/>
        <v>14749</v>
      </c>
      <c r="E13" s="37" t="str">
        <f t="shared" si="2"/>
        <v>Dix, Fabian</v>
      </c>
      <c r="F13" s="38" t="str">
        <f t="shared" si="3"/>
        <v>MSF Tiefenbach</v>
      </c>
      <c r="G13" s="39" t="str">
        <f t="shared" si="4"/>
        <v>Honda Civic Type R</v>
      </c>
      <c r="H13" s="38">
        <f t="shared" si="5"/>
        <v>0</v>
      </c>
      <c r="I13" s="137">
        <f t="shared" si="6"/>
        <v>0</v>
      </c>
      <c r="J13" s="69">
        <v>0.0007509259259259258</v>
      </c>
      <c r="K13" s="70" t="s">
        <v>47</v>
      </c>
      <c r="L13" s="42">
        <f t="shared" si="7"/>
        <v>5.7875E-05</v>
      </c>
      <c r="M13" s="42">
        <f t="shared" si="8"/>
        <v>0.0008088009259259258</v>
      </c>
      <c r="N13" s="89">
        <f t="shared" si="9"/>
        <v>0.0008088009259259258</v>
      </c>
      <c r="O13" s="73">
        <v>0.0007454861111111109</v>
      </c>
      <c r="P13" s="74"/>
      <c r="Q13" s="42">
        <f t="shared" si="10"/>
        <v>0</v>
      </c>
      <c r="R13" s="42">
        <f t="shared" si="11"/>
        <v>0.0007454861111111109</v>
      </c>
      <c r="S13" s="85">
        <f t="shared" si="12"/>
        <v>0.0007454861111111109</v>
      </c>
      <c r="T13" s="82">
        <f t="shared" si="13"/>
        <v>0.0007454861111111109</v>
      </c>
      <c r="U13" s="86">
        <f t="shared" si="14"/>
        <v>0.0007454861111111109</v>
      </c>
      <c r="V13" s="84">
        <f t="shared" si="15"/>
        <v>11</v>
      </c>
      <c r="W13" s="139">
        <f t="shared" si="16"/>
        <v>11</v>
      </c>
      <c r="X13" s="1"/>
    </row>
    <row r="14" spans="1:24" s="33" customFormat="1" ht="15" customHeight="1">
      <c r="A14" s="45">
        <f t="shared" si="17"/>
        <v>10</v>
      </c>
      <c r="B14" s="40" t="str">
        <f t="shared" si="0"/>
        <v>B</v>
      </c>
      <c r="C14" s="57">
        <v>160</v>
      </c>
      <c r="D14" s="36">
        <f t="shared" si="1"/>
        <v>15312</v>
      </c>
      <c r="E14" s="37" t="str">
        <f t="shared" si="2"/>
        <v>Dix, Simon</v>
      </c>
      <c r="F14" s="38" t="str">
        <f t="shared" si="3"/>
        <v>MSF Tiefenbach</v>
      </c>
      <c r="G14" s="39" t="str">
        <f t="shared" si="4"/>
        <v>Honda Civic Type R</v>
      </c>
      <c r="H14" s="38">
        <f t="shared" si="5"/>
        <v>0</v>
      </c>
      <c r="I14" s="137">
        <f t="shared" si="6"/>
        <v>0</v>
      </c>
      <c r="J14" s="69">
        <v>0.0007361111111111111</v>
      </c>
      <c r="K14" s="70" t="s">
        <v>274</v>
      </c>
      <c r="L14" s="42">
        <f t="shared" si="7"/>
        <v>0.000173625</v>
      </c>
      <c r="M14" s="42">
        <f t="shared" si="8"/>
        <v>0.0009097361111111112</v>
      </c>
      <c r="N14" s="89">
        <f t="shared" si="9"/>
        <v>0.0009097361111111112</v>
      </c>
      <c r="O14" s="73">
        <v>0.0007100694444444445</v>
      </c>
      <c r="P14" s="74">
        <v>5</v>
      </c>
      <c r="Q14" s="42">
        <f t="shared" si="10"/>
        <v>5.7875E-05</v>
      </c>
      <c r="R14" s="42">
        <f t="shared" si="11"/>
        <v>0.0007679444444444445</v>
      </c>
      <c r="S14" s="85">
        <f t="shared" si="12"/>
        <v>0.0007679444444444445</v>
      </c>
      <c r="T14" s="82">
        <f t="shared" si="13"/>
        <v>0.0007679444444444445</v>
      </c>
      <c r="U14" s="86">
        <f t="shared" si="14"/>
        <v>0.0007679444444444445</v>
      </c>
      <c r="V14" s="84">
        <f t="shared" si="15"/>
        <v>9.666666666666666</v>
      </c>
      <c r="W14" s="139">
        <f t="shared" si="16"/>
        <v>9.666666666666666</v>
      </c>
      <c r="X14" s="1"/>
    </row>
    <row r="15" spans="1:24" s="33" customFormat="1" ht="15" customHeight="1">
      <c r="A15" s="45">
        <f t="shared" si="17"/>
        <v>11</v>
      </c>
      <c r="B15" s="40" t="str">
        <f t="shared" si="0"/>
        <v>B</v>
      </c>
      <c r="C15" s="57">
        <v>888</v>
      </c>
      <c r="D15" s="36">
        <f t="shared" si="1"/>
        <v>15182</v>
      </c>
      <c r="E15" s="37" t="str">
        <f t="shared" si="2"/>
        <v>Korn, Stephan</v>
      </c>
      <c r="F15" s="38" t="str">
        <f t="shared" si="3"/>
        <v>MSF Tiefenbach</v>
      </c>
      <c r="G15" s="39" t="str">
        <f t="shared" si="4"/>
        <v>Toyota Celica GTS</v>
      </c>
      <c r="H15" s="38">
        <f t="shared" si="5"/>
        <v>0</v>
      </c>
      <c r="I15" s="137">
        <f t="shared" si="6"/>
        <v>0</v>
      </c>
      <c r="J15" s="69">
        <v>0.0007694444444444446</v>
      </c>
      <c r="K15" s="70"/>
      <c r="L15" s="42">
        <f t="shared" si="7"/>
        <v>0</v>
      </c>
      <c r="M15" s="42">
        <f t="shared" si="8"/>
        <v>0.0007694444444444446</v>
      </c>
      <c r="N15" s="89">
        <f t="shared" si="9"/>
        <v>0.0007694444444444446</v>
      </c>
      <c r="O15" s="73">
        <v>0.03125</v>
      </c>
      <c r="P15" s="74"/>
      <c r="Q15" s="42">
        <f t="shared" si="10"/>
        <v>0</v>
      </c>
      <c r="R15" s="42">
        <f t="shared" si="11"/>
        <v>0.03125</v>
      </c>
      <c r="S15" s="85">
        <f t="shared" si="12"/>
        <v>0.03125</v>
      </c>
      <c r="T15" s="82">
        <f t="shared" si="13"/>
        <v>0.0007694444444444446</v>
      </c>
      <c r="U15" s="86">
        <f t="shared" si="14"/>
        <v>0.0007694444444444446</v>
      </c>
      <c r="V15" s="84">
        <f t="shared" si="15"/>
        <v>8.333333333333334</v>
      </c>
      <c r="W15" s="139">
        <f t="shared" si="16"/>
        <v>8.333333333333334</v>
      </c>
      <c r="X15" s="1"/>
    </row>
    <row r="16" spans="1:24" s="33" customFormat="1" ht="15" customHeight="1">
      <c r="A16" s="45">
        <f t="shared" si="17"/>
        <v>12</v>
      </c>
      <c r="B16" s="40" t="str">
        <f t="shared" si="0"/>
        <v>B</v>
      </c>
      <c r="C16" s="57">
        <v>883</v>
      </c>
      <c r="D16" s="36">
        <f t="shared" si="1"/>
        <v>15181</v>
      </c>
      <c r="E16" s="37" t="str">
        <f t="shared" si="2"/>
        <v>Korn, Sabrina</v>
      </c>
      <c r="F16" s="38" t="str">
        <f t="shared" si="3"/>
        <v>MSF Tiefenbach</v>
      </c>
      <c r="G16" s="39" t="str">
        <f t="shared" si="4"/>
        <v>Toyota Celica GTS</v>
      </c>
      <c r="H16" s="38">
        <f t="shared" si="5"/>
        <v>0</v>
      </c>
      <c r="I16" s="137">
        <f t="shared" si="6"/>
        <v>1</v>
      </c>
      <c r="J16" s="69">
        <v>0.0007679398148148147</v>
      </c>
      <c r="K16" s="70" t="s">
        <v>47</v>
      </c>
      <c r="L16" s="42">
        <f t="shared" si="7"/>
        <v>5.7875E-05</v>
      </c>
      <c r="M16" s="42">
        <f t="shared" si="8"/>
        <v>0.0008258148148148147</v>
      </c>
      <c r="N16" s="89">
        <f t="shared" si="9"/>
        <v>0.0008258148148148147</v>
      </c>
      <c r="O16" s="73">
        <v>0.03125</v>
      </c>
      <c r="P16" s="74"/>
      <c r="Q16" s="42">
        <f t="shared" si="10"/>
        <v>0</v>
      </c>
      <c r="R16" s="42">
        <f t="shared" si="11"/>
        <v>0.03125</v>
      </c>
      <c r="S16" s="85">
        <f t="shared" si="12"/>
        <v>0.03125</v>
      </c>
      <c r="T16" s="82">
        <f t="shared" si="13"/>
        <v>0.0008258148148148147</v>
      </c>
      <c r="U16" s="86">
        <f t="shared" si="14"/>
        <v>0.0008258148148148147</v>
      </c>
      <c r="V16" s="84">
        <f t="shared" si="15"/>
        <v>7</v>
      </c>
      <c r="W16" s="139">
        <f t="shared" si="16"/>
        <v>7</v>
      </c>
      <c r="X16" s="1"/>
    </row>
    <row r="17" spans="1:24" s="33" customFormat="1" ht="15" customHeight="1">
      <c r="A17" s="45">
        <f t="shared" si="17"/>
        <v>13</v>
      </c>
      <c r="B17" s="40" t="str">
        <f t="shared" si="0"/>
        <v>E</v>
      </c>
      <c r="C17" s="57">
        <v>343</v>
      </c>
      <c r="D17" s="36">
        <f t="shared" si="1"/>
        <v>0</v>
      </c>
      <c r="E17" s="37" t="str">
        <f t="shared" si="2"/>
        <v>Jakob, Michael</v>
      </c>
      <c r="F17" s="38" t="str">
        <f t="shared" si="3"/>
        <v>MSC Aalen</v>
      </c>
      <c r="G17" s="39" t="str">
        <f t="shared" si="4"/>
        <v>Suzuki Splash DDiS</v>
      </c>
      <c r="H17" s="38">
        <f t="shared" si="5"/>
        <v>0</v>
      </c>
      <c r="I17" s="137">
        <f t="shared" si="6"/>
        <v>0</v>
      </c>
      <c r="J17" s="69">
        <v>0.0008564814814814815</v>
      </c>
      <c r="K17" s="70"/>
      <c r="L17" s="42">
        <f t="shared" si="7"/>
        <v>0</v>
      </c>
      <c r="M17" s="42">
        <f t="shared" si="8"/>
        <v>0.0008564814814814815</v>
      </c>
      <c r="N17" s="89">
        <f t="shared" si="9"/>
        <v>0.0008564814814814815</v>
      </c>
      <c r="O17" s="73">
        <v>0.0008482638888888889</v>
      </c>
      <c r="P17" s="74">
        <v>5</v>
      </c>
      <c r="Q17" s="42">
        <f t="shared" si="10"/>
        <v>5.7875E-05</v>
      </c>
      <c r="R17" s="42">
        <f t="shared" si="11"/>
        <v>0.0009061388888888888</v>
      </c>
      <c r="S17" s="85">
        <f t="shared" si="12"/>
        <v>0.0009061388888888888</v>
      </c>
      <c r="T17" s="82">
        <f t="shared" si="13"/>
        <v>0.0008564814814814815</v>
      </c>
      <c r="U17" s="86">
        <f t="shared" si="14"/>
        <v>0.0008564814814814815</v>
      </c>
      <c r="V17" s="84">
        <f t="shared" si="15"/>
        <v>5.666666666666668</v>
      </c>
      <c r="W17" s="139">
        <f t="shared" si="16"/>
        <v>5.666666666666668</v>
      </c>
      <c r="X17" s="1"/>
    </row>
    <row r="18" spans="1:24" s="33" customFormat="1" ht="15" customHeight="1">
      <c r="A18" s="45">
        <f t="shared" si="17"/>
        <v>14</v>
      </c>
      <c r="B18" s="40" t="str">
        <f t="shared" si="0"/>
        <v>E</v>
      </c>
      <c r="C18" s="57">
        <v>498</v>
      </c>
      <c r="D18" s="36">
        <f t="shared" si="1"/>
        <v>0</v>
      </c>
      <c r="E18" s="37" t="str">
        <f t="shared" si="2"/>
        <v>Schwarz, Michael</v>
      </c>
      <c r="F18" s="38">
        <f t="shared" si="3"/>
        <v>0</v>
      </c>
      <c r="G18" s="39" t="str">
        <f t="shared" si="4"/>
        <v>Fiat 500 Abarth</v>
      </c>
      <c r="H18" s="38">
        <f t="shared" si="5"/>
        <v>1</v>
      </c>
      <c r="I18" s="137">
        <f t="shared" si="6"/>
        <v>0</v>
      </c>
      <c r="J18" s="69">
        <v>0.0008953703703703705</v>
      </c>
      <c r="K18" s="70" t="s">
        <v>301</v>
      </c>
      <c r="L18" s="42">
        <f t="shared" si="7"/>
        <v>0.0005787500000000001</v>
      </c>
      <c r="M18" s="42">
        <f t="shared" si="8"/>
        <v>0.0014741203703703704</v>
      </c>
      <c r="N18" s="89">
        <f t="shared" si="9"/>
        <v>0.0014741203703703704</v>
      </c>
      <c r="O18" s="73">
        <v>0.000862037037037037</v>
      </c>
      <c r="P18" s="74"/>
      <c r="Q18" s="42">
        <f t="shared" si="10"/>
        <v>0</v>
      </c>
      <c r="R18" s="42">
        <f t="shared" si="11"/>
        <v>0.000862037037037037</v>
      </c>
      <c r="S18" s="85">
        <f t="shared" si="12"/>
        <v>0.000862037037037037</v>
      </c>
      <c r="T18" s="82">
        <f t="shared" si="13"/>
        <v>0.000862037037037037</v>
      </c>
      <c r="U18" s="86">
        <f t="shared" si="14"/>
        <v>0.000862037037037037</v>
      </c>
      <c r="V18" s="84">
        <f t="shared" si="15"/>
        <v>4.333333333333332</v>
      </c>
      <c r="W18" s="139">
        <f t="shared" si="16"/>
        <v>4.333333333333332</v>
      </c>
      <c r="X18" s="1"/>
    </row>
    <row r="19" spans="1:24" s="33" customFormat="1" ht="15" customHeight="1">
      <c r="A19" s="45">
        <f t="shared" si="17"/>
        <v>15</v>
      </c>
      <c r="B19" s="40" t="str">
        <f t="shared" si="0"/>
        <v>E</v>
      </c>
      <c r="C19" s="57">
        <v>344</v>
      </c>
      <c r="D19" s="36">
        <f t="shared" si="1"/>
        <v>0</v>
      </c>
      <c r="E19" s="37" t="str">
        <f t="shared" si="2"/>
        <v>Jakob, Robert</v>
      </c>
      <c r="F19" s="38">
        <f t="shared" si="3"/>
        <v>0</v>
      </c>
      <c r="G19" s="39" t="str">
        <f t="shared" si="4"/>
        <v>Suzuki Splash DDiS</v>
      </c>
      <c r="H19" s="38">
        <f t="shared" si="5"/>
        <v>0</v>
      </c>
      <c r="I19" s="137">
        <f t="shared" si="6"/>
        <v>0</v>
      </c>
      <c r="J19" s="69">
        <v>0.000870949074074074</v>
      </c>
      <c r="K19" s="70" t="s">
        <v>300</v>
      </c>
      <c r="L19" s="42">
        <f t="shared" si="7"/>
        <v>0.0006945</v>
      </c>
      <c r="M19" s="42">
        <f t="shared" si="8"/>
        <v>0.0015654490740740741</v>
      </c>
      <c r="N19" s="89">
        <f t="shared" si="9"/>
        <v>0.0015654490740740741</v>
      </c>
      <c r="O19" s="73">
        <v>0.03125</v>
      </c>
      <c r="P19" s="74"/>
      <c r="Q19" s="42">
        <f t="shared" si="10"/>
        <v>0</v>
      </c>
      <c r="R19" s="42">
        <f t="shared" si="11"/>
        <v>0.03125</v>
      </c>
      <c r="S19" s="85">
        <f t="shared" si="12"/>
        <v>0.03125</v>
      </c>
      <c r="T19" s="82">
        <f t="shared" si="13"/>
        <v>0.0015654490740740741</v>
      </c>
      <c r="U19" s="86">
        <f t="shared" si="14"/>
        <v>0.0015654490740740741</v>
      </c>
      <c r="V19" s="84">
        <f t="shared" si="15"/>
        <v>3</v>
      </c>
      <c r="W19" s="139">
        <f t="shared" si="16"/>
        <v>3</v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9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40</v>
      </c>
      <c r="B2" s="50"/>
      <c r="C2" s="60"/>
      <c r="D2" s="50">
        <f>MAX(A5:A34)</f>
        <v>15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IF(ISBLANK(C5),"",IF(A5&lt;=Gold_R,Goldplakette,IF(A5&lt;=Silber_R,Silberplakette,IF(A5&lt;=Bronze_R,Bronzeplakette,Erinnerung))))</f>
        <v>G</v>
      </c>
      <c r="C5" s="56">
        <v>50</v>
      </c>
      <c r="D5" s="36">
        <f aca="true" t="shared" si="1" ref="D5:D34">IF(ISBLANK(C5),"",VLOOKUP(C5,Starter_Feld,2,FALSE))</f>
        <v>20031</v>
      </c>
      <c r="E5" s="37" t="str">
        <f aca="true" t="shared" si="2" ref="E5:E34">IF(ISBLANK(C5),"",VLOOKUP(C5,Starter_Feld,3,FALSE))</f>
        <v>Beck, Werner</v>
      </c>
      <c r="F5" s="38" t="str">
        <f aca="true" t="shared" si="3" ref="F5:F34">IF(ISBLANK(C5),"",VLOOKUP(C5,Starter_Feld,4,FALSE))</f>
        <v>MSC Bechhofen</v>
      </c>
      <c r="G5" s="39" t="str">
        <f aca="true" t="shared" si="4" ref="G5:G34">IF(ISBLANK(C5),"",VLOOKUP(C5,Starter_Feld,5,FALSE))</f>
        <v>VW Golf R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0.0007181712962962963</v>
      </c>
      <c r="K5" s="68" t="s">
        <v>47</v>
      </c>
      <c r="L5" s="41">
        <f aca="true" t="shared" si="7" ref="L5:L34">SUM(0.000011575*K5)</f>
        <v>5.7875E-05</v>
      </c>
      <c r="M5" s="41">
        <f aca="true" t="shared" si="8" ref="M5:M34">SUM(J5,L5)</f>
        <v>0.0007760462962962963</v>
      </c>
      <c r="N5" s="88">
        <f aca="true" t="shared" si="9" ref="N5:N34">IF(J5&lt;&gt;0,M5,"")</f>
        <v>0.0007760462962962963</v>
      </c>
      <c r="O5" s="71">
        <v>0.0007096064814814815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0.0007096064814814815</v>
      </c>
      <c r="S5" s="81">
        <f aca="true" t="shared" si="12" ref="S5:S34">IF(O5&lt;&gt;0,R5,"")</f>
        <v>0.0007096064814814815</v>
      </c>
      <c r="T5" s="82">
        <f aca="true" t="shared" si="13" ref="T5:T34">MIN(N5,S5)</f>
        <v>0.0007096064814814815</v>
      </c>
      <c r="U5" s="83">
        <f aca="true" t="shared" si="14" ref="U5:U34">IF(O5=0,"",T5)</f>
        <v>0.0007096064814814815</v>
      </c>
      <c r="V5" s="84">
        <f aca="true" t="shared" si="15" ref="V5:V34">23-(20*(A5))/D$2</f>
        <v>21.666666666666668</v>
      </c>
      <c r="W5" s="138">
        <f aca="true" t="shared" si="16" ref="W5:W17">IF(O5=0,"",V5)</f>
        <v>21.666666666666668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G</v>
      </c>
      <c r="C6" s="57">
        <v>150</v>
      </c>
      <c r="D6" s="36">
        <f t="shared" si="1"/>
        <v>15086</v>
      </c>
      <c r="E6" s="37" t="str">
        <f t="shared" si="2"/>
        <v>Nölp, Sebastian</v>
      </c>
      <c r="F6" s="38" t="str">
        <f t="shared" si="3"/>
        <v>ASC Ansbach</v>
      </c>
      <c r="G6" s="39" t="str">
        <f t="shared" si="4"/>
        <v>Audi RS 3</v>
      </c>
      <c r="H6" s="38">
        <f t="shared" si="5"/>
        <v>0</v>
      </c>
      <c r="I6" s="137">
        <f t="shared" si="6"/>
        <v>0</v>
      </c>
      <c r="J6" s="69">
        <v>0.0007037037037037038</v>
      </c>
      <c r="K6" s="70" t="s">
        <v>256</v>
      </c>
      <c r="L6" s="42">
        <f t="shared" si="7"/>
        <v>0.00011575</v>
      </c>
      <c r="M6" s="42">
        <f t="shared" si="8"/>
        <v>0.0008194537037037038</v>
      </c>
      <c r="N6" s="89">
        <f t="shared" si="9"/>
        <v>0.0008194537037037038</v>
      </c>
      <c r="O6" s="73">
        <v>0.0007097222222222223</v>
      </c>
      <c r="P6" s="74"/>
      <c r="Q6" s="42">
        <f t="shared" si="10"/>
        <v>0</v>
      </c>
      <c r="R6" s="42">
        <f t="shared" si="11"/>
        <v>0.0007097222222222223</v>
      </c>
      <c r="S6" s="85">
        <f t="shared" si="12"/>
        <v>0.0007097222222222223</v>
      </c>
      <c r="T6" s="82">
        <f t="shared" si="13"/>
        <v>0.0007097222222222223</v>
      </c>
      <c r="U6" s="86">
        <f t="shared" si="14"/>
        <v>0.0007097222222222223</v>
      </c>
      <c r="V6" s="84">
        <f t="shared" si="15"/>
        <v>20.333333333333332</v>
      </c>
      <c r="W6" s="139">
        <f t="shared" si="16"/>
        <v>20.333333333333332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G</v>
      </c>
      <c r="C7" s="57">
        <v>123</v>
      </c>
      <c r="D7" s="36">
        <f t="shared" si="1"/>
        <v>20088</v>
      </c>
      <c r="E7" s="37" t="str">
        <f t="shared" si="2"/>
        <v>Süss, Inge</v>
      </c>
      <c r="F7" s="38" t="str">
        <f t="shared" si="3"/>
        <v>ASC Ansbach</v>
      </c>
      <c r="G7" s="39" t="str">
        <f t="shared" si="4"/>
        <v>BMW M 135i</v>
      </c>
      <c r="H7" s="38">
        <f t="shared" si="5"/>
        <v>0</v>
      </c>
      <c r="I7" s="137">
        <f t="shared" si="6"/>
        <v>1</v>
      </c>
      <c r="J7" s="69">
        <v>0.0007758101851851853</v>
      </c>
      <c r="K7" s="70"/>
      <c r="L7" s="42">
        <f t="shared" si="7"/>
        <v>0</v>
      </c>
      <c r="M7" s="42">
        <f t="shared" si="8"/>
        <v>0.0007758101851851853</v>
      </c>
      <c r="N7" s="89">
        <f t="shared" si="9"/>
        <v>0.0007758101851851853</v>
      </c>
      <c r="O7" s="73">
        <v>0.0007483796296296297</v>
      </c>
      <c r="P7" s="74"/>
      <c r="Q7" s="42">
        <f t="shared" si="10"/>
        <v>0</v>
      </c>
      <c r="R7" s="42">
        <f t="shared" si="11"/>
        <v>0.0007483796296296297</v>
      </c>
      <c r="S7" s="85">
        <f t="shared" si="12"/>
        <v>0.0007483796296296297</v>
      </c>
      <c r="T7" s="82">
        <f t="shared" si="13"/>
        <v>0.0007483796296296297</v>
      </c>
      <c r="U7" s="86">
        <f t="shared" si="14"/>
        <v>0.0007483796296296297</v>
      </c>
      <c r="V7" s="84">
        <f t="shared" si="15"/>
        <v>19</v>
      </c>
      <c r="W7" s="139">
        <f t="shared" si="16"/>
        <v>19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S</v>
      </c>
      <c r="C8" s="57">
        <v>44</v>
      </c>
      <c r="D8" s="36">
        <f t="shared" si="1"/>
        <v>0</v>
      </c>
      <c r="E8" s="37" t="str">
        <f t="shared" si="2"/>
        <v>Philipp, Günther</v>
      </c>
      <c r="F8" s="38" t="str">
        <f t="shared" si="3"/>
        <v>MSC Jura</v>
      </c>
      <c r="G8" s="39" t="str">
        <f t="shared" si="4"/>
        <v>Polo Cup Edition GTI</v>
      </c>
      <c r="H8" s="38">
        <f t="shared" si="5"/>
        <v>0</v>
      </c>
      <c r="I8" s="137">
        <f t="shared" si="6"/>
        <v>0</v>
      </c>
      <c r="J8" s="141">
        <v>0.0007361111111111111</v>
      </c>
      <c r="K8" s="70" t="s">
        <v>274</v>
      </c>
      <c r="L8" s="42">
        <f t="shared" si="7"/>
        <v>0.000173625</v>
      </c>
      <c r="M8" s="42">
        <f t="shared" si="8"/>
        <v>0.0009097361111111112</v>
      </c>
      <c r="N8" s="89">
        <f t="shared" si="9"/>
        <v>0.0009097361111111112</v>
      </c>
      <c r="O8" s="73">
        <v>0.0007582175925925926</v>
      </c>
      <c r="P8" s="74"/>
      <c r="Q8" s="42">
        <f t="shared" si="10"/>
        <v>0</v>
      </c>
      <c r="R8" s="42">
        <f t="shared" si="11"/>
        <v>0.0007582175925925926</v>
      </c>
      <c r="S8" s="85">
        <f t="shared" si="12"/>
        <v>0.0007582175925925926</v>
      </c>
      <c r="T8" s="82">
        <f t="shared" si="13"/>
        <v>0.0007582175925925926</v>
      </c>
      <c r="U8" s="86">
        <f t="shared" si="14"/>
        <v>0.0007582175925925926</v>
      </c>
      <c r="V8" s="84">
        <f t="shared" si="15"/>
        <v>17.666666666666668</v>
      </c>
      <c r="W8" s="139">
        <f t="shared" si="16"/>
        <v>17.666666666666668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S</v>
      </c>
      <c r="C9" s="57">
        <v>765</v>
      </c>
      <c r="D9" s="36">
        <f t="shared" si="1"/>
        <v>0</v>
      </c>
      <c r="E9" s="37" t="str">
        <f t="shared" si="2"/>
        <v>Endreß, Christoph</v>
      </c>
      <c r="F9" s="38" t="str">
        <f t="shared" si="3"/>
        <v>ASC Ansbach</v>
      </c>
      <c r="G9" s="39" t="str">
        <f t="shared" si="4"/>
        <v>Subaru ImprezaSTi</v>
      </c>
      <c r="H9" s="38">
        <f t="shared" si="5"/>
        <v>0</v>
      </c>
      <c r="I9" s="137">
        <f t="shared" si="6"/>
        <v>0</v>
      </c>
      <c r="J9" s="69">
        <v>0.0007976851851851852</v>
      </c>
      <c r="K9" s="70" t="s">
        <v>256</v>
      </c>
      <c r="L9" s="42">
        <f t="shared" si="7"/>
        <v>0.00011575</v>
      </c>
      <c r="M9" s="42">
        <f t="shared" si="8"/>
        <v>0.0009134351851851852</v>
      </c>
      <c r="N9" s="89">
        <f t="shared" si="9"/>
        <v>0.0009134351851851852</v>
      </c>
      <c r="O9" s="73">
        <v>0.0007671296296296297</v>
      </c>
      <c r="P9" s="74"/>
      <c r="Q9" s="42">
        <f t="shared" si="10"/>
        <v>0</v>
      </c>
      <c r="R9" s="42">
        <f t="shared" si="11"/>
        <v>0.0007671296296296297</v>
      </c>
      <c r="S9" s="85">
        <f t="shared" si="12"/>
        <v>0.0007671296296296297</v>
      </c>
      <c r="T9" s="82">
        <f t="shared" si="13"/>
        <v>0.0007671296296296297</v>
      </c>
      <c r="U9" s="86">
        <f t="shared" si="14"/>
        <v>0.0007671296296296297</v>
      </c>
      <c r="V9" s="84">
        <f t="shared" si="15"/>
        <v>16.333333333333332</v>
      </c>
      <c r="W9" s="139">
        <f t="shared" si="16"/>
        <v>16.333333333333332</v>
      </c>
      <c r="X9" s="1"/>
    </row>
    <row r="10" spans="1:24" s="33" customFormat="1" ht="15" customHeight="1">
      <c r="A10" s="45">
        <f t="shared" si="17"/>
        <v>6</v>
      </c>
      <c r="B10" s="40" t="str">
        <f t="shared" si="0"/>
        <v>S</v>
      </c>
      <c r="C10" s="57">
        <v>568</v>
      </c>
      <c r="D10" s="36">
        <f t="shared" si="1"/>
        <v>15745</v>
      </c>
      <c r="E10" s="37" t="str">
        <f t="shared" si="2"/>
        <v>Hezler, Jannik</v>
      </c>
      <c r="F10" s="38" t="str">
        <f t="shared" si="3"/>
        <v>MSC Aalen</v>
      </c>
      <c r="G10" s="39" t="str">
        <f t="shared" si="4"/>
        <v>Mercedes A 220</v>
      </c>
      <c r="H10" s="38">
        <f t="shared" si="5"/>
        <v>0</v>
      </c>
      <c r="I10" s="137">
        <f t="shared" si="6"/>
        <v>0</v>
      </c>
      <c r="J10" s="69">
        <v>0.0007866898148148148</v>
      </c>
      <c r="K10" s="70" t="s">
        <v>47</v>
      </c>
      <c r="L10" s="42">
        <f t="shared" si="7"/>
        <v>5.7875E-05</v>
      </c>
      <c r="M10" s="42">
        <f t="shared" si="8"/>
        <v>0.0008445648148148148</v>
      </c>
      <c r="N10" s="89">
        <f t="shared" si="9"/>
        <v>0.0008445648148148148</v>
      </c>
      <c r="O10" s="73">
        <v>0.0007836805555555556</v>
      </c>
      <c r="P10" s="74"/>
      <c r="Q10" s="42">
        <f t="shared" si="10"/>
        <v>0</v>
      </c>
      <c r="R10" s="42">
        <f t="shared" si="11"/>
        <v>0.0007836805555555556</v>
      </c>
      <c r="S10" s="85">
        <f t="shared" si="12"/>
        <v>0.0007836805555555556</v>
      </c>
      <c r="T10" s="82">
        <f t="shared" si="13"/>
        <v>0.0007836805555555556</v>
      </c>
      <c r="U10" s="86">
        <f t="shared" si="14"/>
        <v>0.0007836805555555556</v>
      </c>
      <c r="V10" s="84">
        <f t="shared" si="15"/>
        <v>15</v>
      </c>
      <c r="W10" s="139">
        <f t="shared" si="16"/>
        <v>15</v>
      </c>
      <c r="X10" s="1"/>
    </row>
    <row r="11" spans="1:24" s="33" customFormat="1" ht="15" customHeight="1">
      <c r="A11" s="45">
        <f t="shared" si="17"/>
        <v>7</v>
      </c>
      <c r="B11" s="40" t="str">
        <f t="shared" si="0"/>
        <v>S</v>
      </c>
      <c r="C11" s="57">
        <v>122</v>
      </c>
      <c r="D11" s="36">
        <f t="shared" si="1"/>
        <v>20029</v>
      </c>
      <c r="E11" s="37" t="str">
        <f t="shared" si="2"/>
        <v>Hofmann, Joachim</v>
      </c>
      <c r="F11" s="38" t="str">
        <f t="shared" si="3"/>
        <v>ASC Ansbach</v>
      </c>
      <c r="G11" s="39" t="str">
        <f t="shared" si="4"/>
        <v>BMW M 135i</v>
      </c>
      <c r="H11" s="38">
        <f t="shared" si="5"/>
        <v>0</v>
      </c>
      <c r="I11" s="137">
        <f t="shared" si="6"/>
        <v>0</v>
      </c>
      <c r="J11" s="69">
        <v>0.0008104166666666668</v>
      </c>
      <c r="K11" s="70" t="s">
        <v>47</v>
      </c>
      <c r="L11" s="42">
        <f t="shared" si="7"/>
        <v>5.7875E-05</v>
      </c>
      <c r="M11" s="42">
        <f t="shared" si="8"/>
        <v>0.0008682916666666667</v>
      </c>
      <c r="N11" s="89">
        <f t="shared" si="9"/>
        <v>0.0008682916666666667</v>
      </c>
      <c r="O11" s="73">
        <v>0.0007842592592592593</v>
      </c>
      <c r="P11" s="74"/>
      <c r="Q11" s="42">
        <f t="shared" si="10"/>
        <v>0</v>
      </c>
      <c r="R11" s="42">
        <f t="shared" si="11"/>
        <v>0.0007842592592592593</v>
      </c>
      <c r="S11" s="85">
        <f t="shared" si="12"/>
        <v>0.0007842592592592593</v>
      </c>
      <c r="T11" s="82">
        <f t="shared" si="13"/>
        <v>0.0007842592592592593</v>
      </c>
      <c r="U11" s="86">
        <f t="shared" si="14"/>
        <v>0.0007842592592592593</v>
      </c>
      <c r="V11" s="84">
        <f t="shared" si="15"/>
        <v>13.666666666666666</v>
      </c>
      <c r="W11" s="139">
        <f t="shared" si="16"/>
        <v>13.666666666666666</v>
      </c>
      <c r="X11" s="1"/>
    </row>
    <row r="12" spans="1:24" s="33" customFormat="1" ht="15" customHeight="1">
      <c r="A12" s="45">
        <f t="shared" si="17"/>
        <v>8</v>
      </c>
      <c r="B12" s="40" t="str">
        <f t="shared" si="0"/>
        <v>B</v>
      </c>
      <c r="C12" s="57">
        <v>501</v>
      </c>
      <c r="D12" s="36">
        <f t="shared" si="1"/>
        <v>14266</v>
      </c>
      <c r="E12" s="37" t="str">
        <f t="shared" si="2"/>
        <v>Beck, Ricarda</v>
      </c>
      <c r="F12" s="38" t="str">
        <f t="shared" si="3"/>
        <v>MSC Bechhofen</v>
      </c>
      <c r="G12" s="39" t="str">
        <f t="shared" si="4"/>
        <v>VW Golf R </v>
      </c>
      <c r="H12" s="38">
        <f t="shared" si="5"/>
        <v>0</v>
      </c>
      <c r="I12" s="137">
        <f t="shared" si="6"/>
        <v>1</v>
      </c>
      <c r="J12" s="69">
        <v>0.0007914351851851851</v>
      </c>
      <c r="K12" s="70"/>
      <c r="L12" s="42">
        <f t="shared" si="7"/>
        <v>0</v>
      </c>
      <c r="M12" s="42">
        <f t="shared" si="8"/>
        <v>0.0007914351851851851</v>
      </c>
      <c r="N12" s="89">
        <f t="shared" si="9"/>
        <v>0.0007914351851851851</v>
      </c>
      <c r="O12" s="73">
        <v>0.0008006944444444445</v>
      </c>
      <c r="P12" s="74">
        <v>5</v>
      </c>
      <c r="Q12" s="42">
        <f t="shared" si="10"/>
        <v>5.7875E-05</v>
      </c>
      <c r="R12" s="42">
        <f t="shared" si="11"/>
        <v>0.0008585694444444445</v>
      </c>
      <c r="S12" s="85">
        <f t="shared" si="12"/>
        <v>0.0008585694444444445</v>
      </c>
      <c r="T12" s="82">
        <f t="shared" si="13"/>
        <v>0.0007914351851851851</v>
      </c>
      <c r="U12" s="86">
        <f t="shared" si="14"/>
        <v>0.0007914351851851851</v>
      </c>
      <c r="V12" s="84">
        <f t="shared" si="15"/>
        <v>12.333333333333334</v>
      </c>
      <c r="W12" s="139">
        <f t="shared" si="16"/>
        <v>12.333333333333334</v>
      </c>
      <c r="X12" s="1"/>
    </row>
    <row r="13" spans="1:24" s="33" customFormat="1" ht="15" customHeight="1">
      <c r="A13" s="45">
        <f t="shared" si="17"/>
        <v>9</v>
      </c>
      <c r="B13" s="40" t="str">
        <f t="shared" si="0"/>
        <v>B</v>
      </c>
      <c r="C13" s="57">
        <v>102</v>
      </c>
      <c r="D13" s="36">
        <f t="shared" si="1"/>
        <v>20160</v>
      </c>
      <c r="E13" s="37" t="str">
        <f t="shared" si="2"/>
        <v>Nölp, Dieter</v>
      </c>
      <c r="F13" s="38" t="str">
        <f t="shared" si="3"/>
        <v>ASC Ansbach</v>
      </c>
      <c r="G13" s="39" t="str">
        <f t="shared" si="4"/>
        <v>Audi RS 3</v>
      </c>
      <c r="H13" s="38">
        <f t="shared" si="5"/>
        <v>0</v>
      </c>
      <c r="I13" s="137">
        <f t="shared" si="6"/>
        <v>0</v>
      </c>
      <c r="J13" s="69">
        <v>0.0007619212962962962</v>
      </c>
      <c r="K13" s="70" t="s">
        <v>47</v>
      </c>
      <c r="L13" s="42">
        <f t="shared" si="7"/>
        <v>5.7875E-05</v>
      </c>
      <c r="M13" s="42">
        <f t="shared" si="8"/>
        <v>0.0008197962962962962</v>
      </c>
      <c r="N13" s="89">
        <f t="shared" si="9"/>
        <v>0.0008197962962962962</v>
      </c>
      <c r="O13" s="73">
        <v>0.0007667824074074074</v>
      </c>
      <c r="P13" s="74">
        <v>15</v>
      </c>
      <c r="Q13" s="42">
        <f t="shared" si="10"/>
        <v>0.000173625</v>
      </c>
      <c r="R13" s="42">
        <f t="shared" si="11"/>
        <v>0.0009404074074074074</v>
      </c>
      <c r="S13" s="85">
        <f t="shared" si="12"/>
        <v>0.0009404074074074074</v>
      </c>
      <c r="T13" s="82">
        <f t="shared" si="13"/>
        <v>0.0008197962962962962</v>
      </c>
      <c r="U13" s="86">
        <f t="shared" si="14"/>
        <v>0.0008197962962962962</v>
      </c>
      <c r="V13" s="84">
        <f t="shared" si="15"/>
        <v>11</v>
      </c>
      <c r="W13" s="139">
        <f t="shared" si="16"/>
        <v>11</v>
      </c>
      <c r="X13" s="1"/>
    </row>
    <row r="14" spans="1:24" s="33" customFormat="1" ht="15" customHeight="1">
      <c r="A14" s="45">
        <f t="shared" si="17"/>
        <v>10</v>
      </c>
      <c r="B14" s="40" t="str">
        <f t="shared" si="0"/>
        <v>B</v>
      </c>
      <c r="C14" s="57">
        <v>451</v>
      </c>
      <c r="D14" s="36">
        <f t="shared" si="1"/>
        <v>13840</v>
      </c>
      <c r="E14" s="37" t="str">
        <f t="shared" si="2"/>
        <v>Göhlich, Andre</v>
      </c>
      <c r="F14" s="38" t="str">
        <f t="shared" si="3"/>
        <v>MSC Bechhofen</v>
      </c>
      <c r="G14" s="39" t="str">
        <f t="shared" si="4"/>
        <v>Mercedes Benz A 45 AMG</v>
      </c>
      <c r="H14" s="38">
        <f t="shared" si="5"/>
        <v>0</v>
      </c>
      <c r="I14" s="137">
        <f t="shared" si="6"/>
        <v>0</v>
      </c>
      <c r="J14" s="69">
        <v>0.0007060185185185185</v>
      </c>
      <c r="K14" s="70" t="s">
        <v>256</v>
      </c>
      <c r="L14" s="42">
        <f t="shared" si="7"/>
        <v>0.00011575</v>
      </c>
      <c r="M14" s="42">
        <f t="shared" si="8"/>
        <v>0.0008217685185185184</v>
      </c>
      <c r="N14" s="89">
        <f t="shared" si="9"/>
        <v>0.0008217685185185184</v>
      </c>
      <c r="O14" s="73">
        <v>0.0008680555555555555</v>
      </c>
      <c r="P14" s="74">
        <v>10</v>
      </c>
      <c r="Q14" s="42">
        <f t="shared" si="10"/>
        <v>0.00011575</v>
      </c>
      <c r="R14" s="42">
        <f t="shared" si="11"/>
        <v>0.0009838055555555555</v>
      </c>
      <c r="S14" s="85">
        <f t="shared" si="12"/>
        <v>0.0009838055555555555</v>
      </c>
      <c r="T14" s="82">
        <f t="shared" si="13"/>
        <v>0.0008217685185185184</v>
      </c>
      <c r="U14" s="86">
        <f t="shared" si="14"/>
        <v>0.0008217685185185184</v>
      </c>
      <c r="V14" s="84">
        <f t="shared" si="15"/>
        <v>9.666666666666666</v>
      </c>
      <c r="W14" s="139">
        <f t="shared" si="16"/>
        <v>9.666666666666666</v>
      </c>
      <c r="X14" s="1"/>
    </row>
    <row r="15" spans="1:24" s="33" customFormat="1" ht="15" customHeight="1">
      <c r="A15" s="45">
        <f t="shared" si="17"/>
        <v>11</v>
      </c>
      <c r="B15" s="40" t="str">
        <f t="shared" si="0"/>
        <v>B</v>
      </c>
      <c r="C15" s="57">
        <v>586</v>
      </c>
      <c r="D15" s="36">
        <f t="shared" si="1"/>
        <v>0</v>
      </c>
      <c r="E15" s="37" t="str">
        <f t="shared" si="2"/>
        <v>Reichart, Rudi</v>
      </c>
      <c r="F15" s="38">
        <f t="shared" si="3"/>
        <v>0</v>
      </c>
      <c r="G15" s="39" t="str">
        <f t="shared" si="4"/>
        <v>Audi A 4</v>
      </c>
      <c r="H15" s="38">
        <f t="shared" si="5"/>
        <v>0</v>
      </c>
      <c r="I15" s="137">
        <f t="shared" si="6"/>
        <v>0</v>
      </c>
      <c r="J15" s="69">
        <v>0.0008298611111111112</v>
      </c>
      <c r="K15" s="70"/>
      <c r="L15" s="42">
        <f t="shared" si="7"/>
        <v>0</v>
      </c>
      <c r="M15" s="42">
        <f t="shared" si="8"/>
        <v>0.0008298611111111112</v>
      </c>
      <c r="N15" s="89">
        <f t="shared" si="9"/>
        <v>0.0008298611111111112</v>
      </c>
      <c r="O15" s="73">
        <v>0.0008355324074074073</v>
      </c>
      <c r="P15" s="74">
        <v>20</v>
      </c>
      <c r="Q15" s="42">
        <f t="shared" si="10"/>
        <v>0.0002315</v>
      </c>
      <c r="R15" s="42">
        <f t="shared" si="11"/>
        <v>0.0010670324074074074</v>
      </c>
      <c r="S15" s="85">
        <f t="shared" si="12"/>
        <v>0.0010670324074074074</v>
      </c>
      <c r="T15" s="82">
        <f t="shared" si="13"/>
        <v>0.0008298611111111112</v>
      </c>
      <c r="U15" s="86">
        <f t="shared" si="14"/>
        <v>0.0008298611111111112</v>
      </c>
      <c r="V15" s="84">
        <f t="shared" si="15"/>
        <v>8.333333333333334</v>
      </c>
      <c r="W15" s="139">
        <f t="shared" si="16"/>
        <v>8.333333333333334</v>
      </c>
      <c r="X15" s="1"/>
    </row>
    <row r="16" spans="1:24" s="33" customFormat="1" ht="15" customHeight="1">
      <c r="A16" s="45">
        <f t="shared" si="17"/>
        <v>12</v>
      </c>
      <c r="B16" s="40" t="str">
        <f t="shared" si="0"/>
        <v>B</v>
      </c>
      <c r="C16" s="57">
        <v>766</v>
      </c>
      <c r="D16" s="36">
        <f t="shared" si="1"/>
        <v>0</v>
      </c>
      <c r="E16" s="37" t="str">
        <f t="shared" si="2"/>
        <v>Endreß, Johann</v>
      </c>
      <c r="F16" s="38" t="str">
        <f t="shared" si="3"/>
        <v>ASC Ansbach</v>
      </c>
      <c r="G16" s="39" t="str">
        <f t="shared" si="4"/>
        <v>Subaru ImprezaSTi</v>
      </c>
      <c r="H16" s="38">
        <f t="shared" si="5"/>
        <v>0</v>
      </c>
      <c r="I16" s="137">
        <f t="shared" si="6"/>
        <v>0</v>
      </c>
      <c r="J16" s="69">
        <v>0.0008266203703703704</v>
      </c>
      <c r="K16" s="70" t="s">
        <v>47</v>
      </c>
      <c r="L16" s="42">
        <f t="shared" si="7"/>
        <v>5.7875E-05</v>
      </c>
      <c r="M16" s="42">
        <f t="shared" si="8"/>
        <v>0.0008844953703703703</v>
      </c>
      <c r="N16" s="89">
        <f t="shared" si="9"/>
        <v>0.0008844953703703703</v>
      </c>
      <c r="O16" s="73">
        <v>0.000855324074074074</v>
      </c>
      <c r="P16" s="74">
        <v>10</v>
      </c>
      <c r="Q16" s="42">
        <f t="shared" si="10"/>
        <v>0.00011575</v>
      </c>
      <c r="R16" s="42">
        <f t="shared" si="11"/>
        <v>0.000971074074074074</v>
      </c>
      <c r="S16" s="85">
        <f t="shared" si="12"/>
        <v>0.000971074074074074</v>
      </c>
      <c r="T16" s="82">
        <f t="shared" si="13"/>
        <v>0.0008844953703703703</v>
      </c>
      <c r="U16" s="86">
        <f t="shared" si="14"/>
        <v>0.0008844953703703703</v>
      </c>
      <c r="V16" s="84">
        <f t="shared" si="15"/>
        <v>7</v>
      </c>
      <c r="W16" s="139">
        <f t="shared" si="16"/>
        <v>7</v>
      </c>
      <c r="X16" s="1"/>
    </row>
    <row r="17" spans="1:24" s="33" customFormat="1" ht="15" customHeight="1">
      <c r="A17" s="45">
        <f t="shared" si="17"/>
        <v>13</v>
      </c>
      <c r="B17" s="40" t="str">
        <f t="shared" si="0"/>
        <v>E</v>
      </c>
      <c r="C17" s="57">
        <v>231</v>
      </c>
      <c r="D17" s="36">
        <f t="shared" si="1"/>
        <v>15449</v>
      </c>
      <c r="E17" s="37" t="str">
        <f t="shared" si="2"/>
        <v>Erler, Konstantin</v>
      </c>
      <c r="F17" s="38" t="str">
        <f t="shared" si="3"/>
        <v>ASVC Wieseth</v>
      </c>
      <c r="G17" s="39" t="str">
        <f t="shared" si="4"/>
        <v>BMW E30 325i</v>
      </c>
      <c r="H17" s="38">
        <f t="shared" si="5"/>
        <v>0</v>
      </c>
      <c r="I17" s="137">
        <f t="shared" si="6"/>
        <v>0</v>
      </c>
      <c r="J17" s="69">
        <v>0.0011726851851851852</v>
      </c>
      <c r="K17" s="70"/>
      <c r="L17" s="42">
        <f t="shared" si="7"/>
        <v>0</v>
      </c>
      <c r="M17" s="42">
        <f t="shared" si="8"/>
        <v>0.0011726851851851852</v>
      </c>
      <c r="N17" s="89">
        <f t="shared" si="9"/>
        <v>0.0011726851851851852</v>
      </c>
      <c r="O17" s="73">
        <v>0.03125</v>
      </c>
      <c r="P17" s="74"/>
      <c r="Q17" s="42">
        <f t="shared" si="10"/>
        <v>0</v>
      </c>
      <c r="R17" s="42">
        <f t="shared" si="11"/>
        <v>0.03125</v>
      </c>
      <c r="S17" s="85">
        <f t="shared" si="12"/>
        <v>0.03125</v>
      </c>
      <c r="T17" s="82">
        <f t="shared" si="13"/>
        <v>0.0011726851851851852</v>
      </c>
      <c r="U17" s="86">
        <f t="shared" si="14"/>
        <v>0.0011726851851851852</v>
      </c>
      <c r="V17" s="84">
        <f t="shared" si="15"/>
        <v>5.666666666666668</v>
      </c>
      <c r="W17" s="139">
        <f t="shared" si="16"/>
        <v>5.666666666666668</v>
      </c>
      <c r="X17" s="1"/>
    </row>
    <row r="18" spans="1:24" s="33" customFormat="1" ht="15" customHeight="1">
      <c r="A18" s="45">
        <f t="shared" si="17"/>
        <v>14</v>
      </c>
      <c r="B18" s="40" t="str">
        <f t="shared" si="0"/>
        <v>E</v>
      </c>
      <c r="C18" s="57">
        <v>230</v>
      </c>
      <c r="D18" s="36">
        <f t="shared" si="1"/>
        <v>15448</v>
      </c>
      <c r="E18" s="37" t="str">
        <f t="shared" si="2"/>
        <v>Erler, Rudolf</v>
      </c>
      <c r="F18" s="38" t="str">
        <f t="shared" si="3"/>
        <v>ASVC Wieseth</v>
      </c>
      <c r="G18" s="39" t="str">
        <f t="shared" si="4"/>
        <v>BMW E30 325i</v>
      </c>
      <c r="H18" s="38">
        <f t="shared" si="5"/>
        <v>0</v>
      </c>
      <c r="I18" s="137">
        <f t="shared" si="6"/>
        <v>0</v>
      </c>
      <c r="J18" s="69">
        <v>0.03125</v>
      </c>
      <c r="K18" s="70"/>
      <c r="L18" s="42">
        <f t="shared" si="7"/>
        <v>0</v>
      </c>
      <c r="M18" s="42">
        <f t="shared" si="8"/>
        <v>0.03125</v>
      </c>
      <c r="N18" s="89">
        <f t="shared" si="9"/>
        <v>0.03125</v>
      </c>
      <c r="O18" s="73">
        <v>0.03125</v>
      </c>
      <c r="P18" s="74"/>
      <c r="Q18" s="42">
        <f t="shared" si="10"/>
        <v>0</v>
      </c>
      <c r="R18" s="42">
        <f t="shared" si="11"/>
        <v>0.03125</v>
      </c>
      <c r="S18" s="85">
        <f t="shared" si="12"/>
        <v>0.03125</v>
      </c>
      <c r="T18" s="82">
        <f t="shared" si="13"/>
        <v>0.03125</v>
      </c>
      <c r="U18" s="86">
        <f t="shared" si="14"/>
        <v>0.03125</v>
      </c>
      <c r="V18" s="84">
        <f t="shared" si="15"/>
        <v>4.333333333333332</v>
      </c>
      <c r="W18" s="139">
        <v>0</v>
      </c>
      <c r="X18" s="1"/>
    </row>
    <row r="19" spans="1:24" s="33" customFormat="1" ht="15" customHeight="1">
      <c r="A19" s="45">
        <f t="shared" si="17"/>
        <v>15</v>
      </c>
      <c r="B19" s="40" t="str">
        <f t="shared" si="0"/>
        <v>E</v>
      </c>
      <c r="C19" s="57">
        <v>232</v>
      </c>
      <c r="D19" s="36">
        <f t="shared" si="1"/>
        <v>15510</v>
      </c>
      <c r="E19" s="37" t="str">
        <f t="shared" si="2"/>
        <v>Erler, Maximilian</v>
      </c>
      <c r="F19" s="38" t="str">
        <f t="shared" si="3"/>
        <v>ASVC Wieseth</v>
      </c>
      <c r="G19" s="39" t="str">
        <f t="shared" si="4"/>
        <v>BMW E30 325i</v>
      </c>
      <c r="H19" s="38">
        <f t="shared" si="5"/>
        <v>0</v>
      </c>
      <c r="I19" s="137">
        <f t="shared" si="6"/>
        <v>0</v>
      </c>
      <c r="J19" s="69">
        <v>0.03125</v>
      </c>
      <c r="K19" s="70"/>
      <c r="L19" s="42">
        <f t="shared" si="7"/>
        <v>0</v>
      </c>
      <c r="M19" s="42">
        <f t="shared" si="8"/>
        <v>0.03125</v>
      </c>
      <c r="N19" s="89">
        <f t="shared" si="9"/>
        <v>0.03125</v>
      </c>
      <c r="O19" s="73">
        <v>0.03125</v>
      </c>
      <c r="P19" s="74"/>
      <c r="Q19" s="42">
        <f t="shared" si="10"/>
        <v>0</v>
      </c>
      <c r="R19" s="42">
        <f t="shared" si="11"/>
        <v>0.03125</v>
      </c>
      <c r="S19" s="85">
        <f t="shared" si="12"/>
        <v>0.03125</v>
      </c>
      <c r="T19" s="82">
        <f t="shared" si="13"/>
        <v>0.03125</v>
      </c>
      <c r="U19" s="86">
        <f t="shared" si="14"/>
        <v>0.03125</v>
      </c>
      <c r="V19" s="84">
        <f t="shared" si="15"/>
        <v>3</v>
      </c>
      <c r="W19" s="139">
        <v>0</v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aca="true" t="shared" si="18" ref="W20:W34">IF(O20=0,"",V20)</f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8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8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8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8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8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8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8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8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8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8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8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8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8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8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0"/>
  <dimension ref="A1:X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5.7109375" style="47" customWidth="1"/>
    <col min="2" max="2" width="3.57421875" style="0" customWidth="1"/>
    <col min="3" max="3" width="6.00390625" style="59" customWidth="1"/>
    <col min="4" max="4" width="8.8515625" style="0" customWidth="1"/>
    <col min="5" max="5" width="18.8515625" style="0" customWidth="1"/>
    <col min="6" max="6" width="18.57421875" style="0" customWidth="1"/>
    <col min="7" max="7" width="13.00390625" style="0" customWidth="1"/>
    <col min="8" max="9" width="10.7109375" style="0" hidden="1" customWidth="1"/>
    <col min="10" max="10" width="9.28125" style="59" customWidth="1"/>
    <col min="11" max="11" width="3.8515625" style="58" customWidth="1"/>
    <col min="12" max="13" width="9.28125" style="0" hidden="1" customWidth="1"/>
    <col min="14" max="14" width="9.28125" style="75" customWidth="1"/>
    <col min="15" max="15" width="9.28125" style="58" customWidth="1"/>
    <col min="16" max="16" width="3.8515625" style="58" customWidth="1"/>
    <col min="17" max="18" width="9.28125" style="0" hidden="1" customWidth="1"/>
    <col min="19" max="19" width="9.28125" style="75" customWidth="1"/>
    <col min="20" max="20" width="8.7109375" style="75" hidden="1" customWidth="1"/>
    <col min="21" max="21" width="10.421875" style="76" customWidth="1"/>
    <col min="22" max="22" width="8.7109375" style="77" hidden="1" customWidth="1"/>
    <col min="23" max="23" width="10.28125" style="77" customWidth="1"/>
    <col min="24" max="24" width="11.57421875" style="1" customWidth="1"/>
  </cols>
  <sheetData>
    <row r="1" spans="1:13" ht="15">
      <c r="A1" s="43"/>
      <c r="B1" s="1"/>
      <c r="C1" s="58"/>
      <c r="D1" s="1"/>
      <c r="E1" s="2"/>
      <c r="F1" s="2"/>
      <c r="G1" s="2"/>
      <c r="H1" s="2"/>
      <c r="I1" s="2"/>
      <c r="J1" s="62"/>
      <c r="L1" s="1"/>
      <c r="M1" s="1"/>
    </row>
    <row r="2" spans="1:13" ht="23.25">
      <c r="A2" s="49" t="s">
        <v>42</v>
      </c>
      <c r="B2" s="50"/>
      <c r="C2" s="60"/>
      <c r="D2" s="50">
        <f>MAX(A5:A34)</f>
        <v>5</v>
      </c>
      <c r="E2" s="51" t="s">
        <v>0</v>
      </c>
      <c r="F2" s="99" t="str">
        <f>IF(ISBLANK(E2),"",VLOOKUP(E2,'Veranst.'!A:C,3,FALSE))</f>
        <v>49. Automobilslalom, MSC Jura 9.7.2016</v>
      </c>
      <c r="G2" s="48"/>
      <c r="H2" s="48"/>
      <c r="I2" s="48"/>
      <c r="J2" s="63"/>
      <c r="K2" s="64"/>
      <c r="L2" s="3"/>
      <c r="M2" s="3"/>
    </row>
    <row r="3" spans="1:13" ht="15.75" thickBot="1">
      <c r="A3" s="43"/>
      <c r="B3" s="1"/>
      <c r="C3" s="58"/>
      <c r="D3" s="1"/>
      <c r="E3" s="2"/>
      <c r="F3" s="2"/>
      <c r="G3" s="2"/>
      <c r="H3" s="2"/>
      <c r="I3" s="2"/>
      <c r="J3" s="62"/>
      <c r="L3" s="8"/>
      <c r="M3" s="1"/>
    </row>
    <row r="4" spans="1:24" s="34" customFormat="1" ht="15.75" thickBot="1">
      <c r="A4" s="9" t="s">
        <v>1</v>
      </c>
      <c r="B4" s="7" t="s">
        <v>2</v>
      </c>
      <c r="C4" s="61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55"/>
      <c r="I4" s="55"/>
      <c r="J4" s="65" t="s">
        <v>24</v>
      </c>
      <c r="K4" s="66" t="s">
        <v>25</v>
      </c>
      <c r="L4" s="32"/>
      <c r="M4" s="32" t="s">
        <v>26</v>
      </c>
      <c r="N4" s="87" t="s">
        <v>27</v>
      </c>
      <c r="O4" s="65" t="s">
        <v>28</v>
      </c>
      <c r="P4" s="66" t="s">
        <v>29</v>
      </c>
      <c r="Q4" s="32"/>
      <c r="R4" s="32" t="s">
        <v>30</v>
      </c>
      <c r="S4" s="87" t="s">
        <v>31</v>
      </c>
      <c r="T4" s="115" t="s">
        <v>32</v>
      </c>
      <c r="U4" s="78" t="s">
        <v>33</v>
      </c>
      <c r="V4" s="79"/>
      <c r="W4" s="80" t="s">
        <v>61</v>
      </c>
      <c r="X4" s="1"/>
    </row>
    <row r="5" spans="1:24" s="33" customFormat="1" ht="15" customHeight="1">
      <c r="A5" s="44">
        <f>IF(ISBLANK(C5),"",1)</f>
        <v>1</v>
      </c>
      <c r="B5" s="35" t="str">
        <f aca="true" t="shared" si="0" ref="B5:B34">IF(ISBLANK(C5),"",IF(A5&lt;=Gold_S,Goldplakette,IF(A5&lt;=Silber_S,Silberplakette,IF(A5&lt;=Bronze_S,Bronzeplakette,Erinnerung))))</f>
        <v>G</v>
      </c>
      <c r="C5" s="56">
        <v>300</v>
      </c>
      <c r="D5" s="36">
        <f aca="true" t="shared" si="1" ref="D5:D34">IF(ISBLANK(C5),"",VLOOKUP(C5,Starter_Feld,2,FALSE))</f>
        <v>0</v>
      </c>
      <c r="E5" s="37" t="str">
        <f aca="true" t="shared" si="2" ref="E5:E34">IF(ISBLANK(C5),"",VLOOKUP(C5,Starter_Feld,3,FALSE))</f>
        <v>Feyl, Michael</v>
      </c>
      <c r="F5" s="38" t="str">
        <f aca="true" t="shared" si="3" ref="F5:F34">IF(ISBLANK(C5),"",VLOOKUP(C5,Starter_Feld,4,FALSE))</f>
        <v>MSC Jura</v>
      </c>
      <c r="G5" s="39" t="str">
        <f aca="true" t="shared" si="4" ref="G5:G34">IF(ISBLANK(C5),"",VLOOKUP(C5,Starter_Feld,5,FALSE))</f>
        <v>Abarth 1000 TCR</v>
      </c>
      <c r="H5" s="38">
        <f aca="true" t="shared" si="5" ref="H5:H34">IF(ISBLANK(C5),"",VLOOKUP(C5,Starter_Feld,7,FALSE))</f>
        <v>0</v>
      </c>
      <c r="I5" s="136">
        <f aca="true" t="shared" si="6" ref="I5:I34">IF(ISBLANK(C5),"",VLOOKUP(C5,Starter_Feld,8,FALSE))</f>
        <v>0</v>
      </c>
      <c r="J5" s="67">
        <v>0.0006686342592592593</v>
      </c>
      <c r="K5" s="68" t="s">
        <v>274</v>
      </c>
      <c r="L5" s="41">
        <f aca="true" t="shared" si="7" ref="L5:L34">SUM(0.000011575*K5)</f>
        <v>0.000173625</v>
      </c>
      <c r="M5" s="41">
        <f aca="true" t="shared" si="8" ref="M5:M34">SUM(J5,L5)</f>
        <v>0.0008422592592592594</v>
      </c>
      <c r="N5" s="88">
        <f aca="true" t="shared" si="9" ref="N5:N34">IF(J5&lt;&gt;0,M5,"")</f>
        <v>0.0008422592592592594</v>
      </c>
      <c r="O5" s="71">
        <v>0.0006726851851851851</v>
      </c>
      <c r="P5" s="72"/>
      <c r="Q5" s="41">
        <f aca="true" t="shared" si="10" ref="Q5:Q34">SUM(0.000011575*P5)</f>
        <v>0</v>
      </c>
      <c r="R5" s="41">
        <f aca="true" t="shared" si="11" ref="R5:R34">SUM(O5,Q5)</f>
        <v>0.0006726851851851851</v>
      </c>
      <c r="S5" s="81">
        <f aca="true" t="shared" si="12" ref="S5:S34">IF(O5&lt;&gt;0,R5,"")</f>
        <v>0.0006726851851851851</v>
      </c>
      <c r="T5" s="82">
        <f aca="true" t="shared" si="13" ref="T5:T34">MIN(N5,S5)</f>
        <v>0.0006726851851851851</v>
      </c>
      <c r="U5" s="83">
        <f aca="true" t="shared" si="14" ref="U5:U34">IF(O5=0,"",T5)</f>
        <v>0.0006726851851851851</v>
      </c>
      <c r="V5" s="84">
        <f aca="true" t="shared" si="15" ref="V5:V34">23-(20*(A5))/D$2</f>
        <v>19</v>
      </c>
      <c r="W5" s="138">
        <f aca="true" t="shared" si="16" ref="W5:W34">IF(O5=0,"",V5)</f>
        <v>19</v>
      </c>
      <c r="X5" s="1"/>
    </row>
    <row r="6" spans="1:24" s="33" customFormat="1" ht="15" customHeight="1">
      <c r="A6" s="45">
        <f aca="true" t="shared" si="17" ref="A6:A33">IF(ISBLANK(C6),"",A5+1)</f>
        <v>2</v>
      </c>
      <c r="B6" s="40" t="str">
        <f t="shared" si="0"/>
        <v>S</v>
      </c>
      <c r="C6" s="57">
        <v>64</v>
      </c>
      <c r="D6" s="36">
        <f t="shared" si="1"/>
        <v>15548</v>
      </c>
      <c r="E6" s="37" t="str">
        <f t="shared" si="2"/>
        <v>Kehlenbeck, Frank</v>
      </c>
      <c r="F6" s="38" t="str">
        <f t="shared" si="3"/>
        <v>ASC Rheingau</v>
      </c>
      <c r="G6" s="39" t="str">
        <f t="shared" si="4"/>
        <v>Fiat Abarth 1000 TC</v>
      </c>
      <c r="H6" s="38">
        <f t="shared" si="5"/>
        <v>0</v>
      </c>
      <c r="I6" s="137">
        <f t="shared" si="6"/>
        <v>0</v>
      </c>
      <c r="J6" s="69">
        <v>0.0007103009259259259</v>
      </c>
      <c r="K6" s="70"/>
      <c r="L6" s="42">
        <f t="shared" si="7"/>
        <v>0</v>
      </c>
      <c r="M6" s="42">
        <f t="shared" si="8"/>
        <v>0.0007103009259259259</v>
      </c>
      <c r="N6" s="89">
        <f t="shared" si="9"/>
        <v>0.0007103009259259259</v>
      </c>
      <c r="O6" s="73">
        <v>0.0006885416666666667</v>
      </c>
      <c r="P6" s="74">
        <v>85</v>
      </c>
      <c r="Q6" s="42">
        <f t="shared" si="10"/>
        <v>0.000983875</v>
      </c>
      <c r="R6" s="42">
        <f t="shared" si="11"/>
        <v>0.0016724166666666667</v>
      </c>
      <c r="S6" s="85">
        <f t="shared" si="12"/>
        <v>0.0016724166666666667</v>
      </c>
      <c r="T6" s="82">
        <f t="shared" si="13"/>
        <v>0.0007103009259259259</v>
      </c>
      <c r="U6" s="86">
        <f t="shared" si="14"/>
        <v>0.0007103009259259259</v>
      </c>
      <c r="V6" s="84">
        <f t="shared" si="15"/>
        <v>15</v>
      </c>
      <c r="W6" s="139">
        <f t="shared" si="16"/>
        <v>15</v>
      </c>
      <c r="X6" s="1"/>
    </row>
    <row r="7" spans="1:24" s="33" customFormat="1" ht="15" customHeight="1">
      <c r="A7" s="45">
        <f t="shared" si="17"/>
        <v>3</v>
      </c>
      <c r="B7" s="40" t="str">
        <f t="shared" si="0"/>
        <v>B</v>
      </c>
      <c r="C7" s="57">
        <v>395</v>
      </c>
      <c r="D7" s="36">
        <f t="shared" si="1"/>
        <v>0</v>
      </c>
      <c r="E7" s="37" t="str">
        <f t="shared" si="2"/>
        <v>Dietze, Harald</v>
      </c>
      <c r="F7" s="38" t="str">
        <f t="shared" si="3"/>
        <v>Scuderia Topolino</v>
      </c>
      <c r="G7" s="39" t="str">
        <f t="shared" si="4"/>
        <v>Fiat Abarth 1000 TCR</v>
      </c>
      <c r="H7" s="38">
        <f t="shared" si="5"/>
        <v>0</v>
      </c>
      <c r="I7" s="137">
        <f t="shared" si="6"/>
        <v>0</v>
      </c>
      <c r="J7" s="69">
        <v>0.0007884259259259259</v>
      </c>
      <c r="K7" s="70"/>
      <c r="L7" s="42">
        <f t="shared" si="7"/>
        <v>0</v>
      </c>
      <c r="M7" s="42">
        <f t="shared" si="8"/>
        <v>0.0007884259259259259</v>
      </c>
      <c r="N7" s="89">
        <f t="shared" si="9"/>
        <v>0.0007884259259259259</v>
      </c>
      <c r="O7" s="73">
        <v>0.0008017361111111111</v>
      </c>
      <c r="P7" s="74">
        <v>5</v>
      </c>
      <c r="Q7" s="42">
        <f t="shared" si="10"/>
        <v>5.7875E-05</v>
      </c>
      <c r="R7" s="42">
        <f t="shared" si="11"/>
        <v>0.0008596111111111111</v>
      </c>
      <c r="S7" s="85">
        <f t="shared" si="12"/>
        <v>0.0008596111111111111</v>
      </c>
      <c r="T7" s="82">
        <f t="shared" si="13"/>
        <v>0.0007884259259259259</v>
      </c>
      <c r="U7" s="86">
        <f t="shared" si="14"/>
        <v>0.0007884259259259259</v>
      </c>
      <c r="V7" s="84">
        <f t="shared" si="15"/>
        <v>11</v>
      </c>
      <c r="W7" s="139">
        <f t="shared" si="16"/>
        <v>11</v>
      </c>
      <c r="X7" s="1"/>
    </row>
    <row r="8" spans="1:24" s="33" customFormat="1" ht="15" customHeight="1">
      <c r="A8" s="45">
        <f t="shared" si="17"/>
        <v>4</v>
      </c>
      <c r="B8" s="40" t="str">
        <f t="shared" si="0"/>
        <v>B</v>
      </c>
      <c r="C8" s="57">
        <v>327</v>
      </c>
      <c r="D8" s="36">
        <f t="shared" si="1"/>
        <v>0</v>
      </c>
      <c r="E8" s="37" t="str">
        <f t="shared" si="2"/>
        <v>König, Anton</v>
      </c>
      <c r="F8" s="38" t="str">
        <f t="shared" si="3"/>
        <v>SFG Sophienthal</v>
      </c>
      <c r="G8" s="39" t="str">
        <f t="shared" si="4"/>
        <v>Audi 50 GLS</v>
      </c>
      <c r="H8" s="38">
        <f t="shared" si="5"/>
        <v>0</v>
      </c>
      <c r="I8" s="137">
        <f t="shared" si="6"/>
        <v>0</v>
      </c>
      <c r="J8" s="69">
        <v>0.0007543981481481481</v>
      </c>
      <c r="K8" s="70" t="s">
        <v>257</v>
      </c>
      <c r="L8" s="42">
        <f t="shared" si="7"/>
        <v>0.0002315</v>
      </c>
      <c r="M8" s="42">
        <f t="shared" si="8"/>
        <v>0.000985898148148148</v>
      </c>
      <c r="N8" s="89">
        <f t="shared" si="9"/>
        <v>0.000985898148148148</v>
      </c>
      <c r="O8" s="73">
        <v>0.03125</v>
      </c>
      <c r="P8" s="74"/>
      <c r="Q8" s="42">
        <f t="shared" si="10"/>
        <v>0</v>
      </c>
      <c r="R8" s="42">
        <f t="shared" si="11"/>
        <v>0.03125</v>
      </c>
      <c r="S8" s="85">
        <f t="shared" si="12"/>
        <v>0.03125</v>
      </c>
      <c r="T8" s="82">
        <f t="shared" si="13"/>
        <v>0.000985898148148148</v>
      </c>
      <c r="U8" s="86">
        <f t="shared" si="14"/>
        <v>0.000985898148148148</v>
      </c>
      <c r="V8" s="84">
        <f t="shared" si="15"/>
        <v>7</v>
      </c>
      <c r="W8" s="139">
        <f t="shared" si="16"/>
        <v>7</v>
      </c>
      <c r="X8" s="1"/>
    </row>
    <row r="9" spans="1:24" s="33" customFormat="1" ht="15" customHeight="1">
      <c r="A9" s="45">
        <f t="shared" si="17"/>
        <v>5</v>
      </c>
      <c r="B9" s="40" t="str">
        <f t="shared" si="0"/>
        <v>E</v>
      </c>
      <c r="C9" s="57">
        <v>130</v>
      </c>
      <c r="D9" s="36">
        <f t="shared" si="1"/>
        <v>0</v>
      </c>
      <c r="E9" s="37" t="str">
        <f t="shared" si="2"/>
        <v>Westermeier, Walter</v>
      </c>
      <c r="F9" s="38" t="str">
        <f t="shared" si="3"/>
        <v>Scuderia Topolino</v>
      </c>
      <c r="G9" s="39" t="str">
        <f t="shared" si="4"/>
        <v>Fiat Abarth 1000 TC</v>
      </c>
      <c r="H9" s="38">
        <f t="shared" si="5"/>
        <v>0</v>
      </c>
      <c r="I9" s="137">
        <f t="shared" si="6"/>
        <v>0</v>
      </c>
      <c r="J9" s="69">
        <v>0.0008438657407407408</v>
      </c>
      <c r="K9" s="70" t="s">
        <v>258</v>
      </c>
      <c r="L9" s="42">
        <f t="shared" si="7"/>
        <v>0.000463</v>
      </c>
      <c r="M9" s="42">
        <f t="shared" si="8"/>
        <v>0.0013068657407407408</v>
      </c>
      <c r="N9" s="89">
        <f t="shared" si="9"/>
        <v>0.0013068657407407408</v>
      </c>
      <c r="O9" s="73">
        <v>0.0008416666666666667</v>
      </c>
      <c r="P9" s="74">
        <v>35</v>
      </c>
      <c r="Q9" s="42">
        <f t="shared" si="10"/>
        <v>0.000405125</v>
      </c>
      <c r="R9" s="42">
        <f t="shared" si="11"/>
        <v>0.0012467916666666667</v>
      </c>
      <c r="S9" s="85">
        <f t="shared" si="12"/>
        <v>0.0012467916666666667</v>
      </c>
      <c r="T9" s="82">
        <f t="shared" si="13"/>
        <v>0.0012467916666666667</v>
      </c>
      <c r="U9" s="86">
        <f t="shared" si="14"/>
        <v>0.0012467916666666667</v>
      </c>
      <c r="V9" s="84">
        <f t="shared" si="15"/>
        <v>3</v>
      </c>
      <c r="W9" s="139">
        <f t="shared" si="16"/>
        <v>3</v>
      </c>
      <c r="X9" s="1"/>
    </row>
    <row r="10" spans="1:24" s="33" customFormat="1" ht="15" customHeight="1">
      <c r="A10" s="45">
        <f t="shared" si="17"/>
      </c>
      <c r="B10" s="40">
        <f t="shared" si="0"/>
      </c>
      <c r="C10" s="57"/>
      <c r="D10" s="36">
        <f t="shared" si="1"/>
      </c>
      <c r="E10" s="37">
        <f t="shared" si="2"/>
      </c>
      <c r="F10" s="38">
        <f t="shared" si="3"/>
      </c>
      <c r="G10" s="39">
        <f t="shared" si="4"/>
      </c>
      <c r="H10" s="38">
        <f t="shared" si="5"/>
      </c>
      <c r="I10" s="137">
        <f t="shared" si="6"/>
      </c>
      <c r="J10" s="69"/>
      <c r="K10" s="70"/>
      <c r="L10" s="42">
        <f t="shared" si="7"/>
        <v>0</v>
      </c>
      <c r="M10" s="42">
        <f t="shared" si="8"/>
        <v>0</v>
      </c>
      <c r="N10" s="89">
        <f t="shared" si="9"/>
      </c>
      <c r="O10" s="73"/>
      <c r="P10" s="74"/>
      <c r="Q10" s="42">
        <f t="shared" si="10"/>
        <v>0</v>
      </c>
      <c r="R10" s="42">
        <f t="shared" si="11"/>
        <v>0</v>
      </c>
      <c r="S10" s="85">
        <f t="shared" si="12"/>
      </c>
      <c r="T10" s="82">
        <f t="shared" si="13"/>
        <v>0</v>
      </c>
      <c r="U10" s="86">
        <f t="shared" si="14"/>
      </c>
      <c r="V10" s="84" t="e">
        <f t="shared" si="15"/>
        <v>#VALUE!</v>
      </c>
      <c r="W10" s="139">
        <f t="shared" si="16"/>
      </c>
      <c r="X10" s="1"/>
    </row>
    <row r="11" spans="1:24" s="33" customFormat="1" ht="15" customHeight="1">
      <c r="A11" s="45">
        <f t="shared" si="17"/>
      </c>
      <c r="B11" s="40">
        <f t="shared" si="0"/>
      </c>
      <c r="C11" s="57"/>
      <c r="D11" s="36">
        <f t="shared" si="1"/>
      </c>
      <c r="E11" s="37">
        <f t="shared" si="2"/>
      </c>
      <c r="F11" s="38">
        <f t="shared" si="3"/>
      </c>
      <c r="G11" s="39">
        <f t="shared" si="4"/>
      </c>
      <c r="H11" s="38">
        <f t="shared" si="5"/>
      </c>
      <c r="I11" s="137">
        <f t="shared" si="6"/>
      </c>
      <c r="J11" s="69"/>
      <c r="K11" s="70"/>
      <c r="L11" s="42">
        <f t="shared" si="7"/>
        <v>0</v>
      </c>
      <c r="M11" s="42">
        <f t="shared" si="8"/>
        <v>0</v>
      </c>
      <c r="N11" s="89">
        <f t="shared" si="9"/>
      </c>
      <c r="O11" s="73"/>
      <c r="P11" s="74"/>
      <c r="Q11" s="42">
        <f t="shared" si="10"/>
        <v>0</v>
      </c>
      <c r="R11" s="42">
        <f t="shared" si="11"/>
        <v>0</v>
      </c>
      <c r="S11" s="85">
        <f t="shared" si="12"/>
      </c>
      <c r="T11" s="82">
        <f t="shared" si="13"/>
        <v>0</v>
      </c>
      <c r="U11" s="86">
        <f t="shared" si="14"/>
      </c>
      <c r="V11" s="84" t="e">
        <f t="shared" si="15"/>
        <v>#VALUE!</v>
      </c>
      <c r="W11" s="139">
        <f t="shared" si="16"/>
      </c>
      <c r="X11" s="1"/>
    </row>
    <row r="12" spans="1:24" s="33" customFormat="1" ht="15" customHeight="1">
      <c r="A12" s="45">
        <f t="shared" si="17"/>
      </c>
      <c r="B12" s="40">
        <f t="shared" si="0"/>
      </c>
      <c r="C12" s="57"/>
      <c r="D12" s="36">
        <f t="shared" si="1"/>
      </c>
      <c r="E12" s="37">
        <f t="shared" si="2"/>
      </c>
      <c r="F12" s="38">
        <f t="shared" si="3"/>
      </c>
      <c r="G12" s="39">
        <f t="shared" si="4"/>
      </c>
      <c r="H12" s="38">
        <f t="shared" si="5"/>
      </c>
      <c r="I12" s="137">
        <f t="shared" si="6"/>
      </c>
      <c r="J12" s="141"/>
      <c r="K12" s="70"/>
      <c r="L12" s="42">
        <f t="shared" si="7"/>
        <v>0</v>
      </c>
      <c r="M12" s="42">
        <f t="shared" si="8"/>
        <v>0</v>
      </c>
      <c r="N12" s="89">
        <f t="shared" si="9"/>
      </c>
      <c r="O12" s="73"/>
      <c r="P12" s="74"/>
      <c r="Q12" s="42">
        <f t="shared" si="10"/>
        <v>0</v>
      </c>
      <c r="R12" s="42">
        <f t="shared" si="11"/>
        <v>0</v>
      </c>
      <c r="S12" s="85">
        <f t="shared" si="12"/>
      </c>
      <c r="T12" s="82">
        <f t="shared" si="13"/>
        <v>0</v>
      </c>
      <c r="U12" s="86">
        <f t="shared" si="14"/>
      </c>
      <c r="V12" s="84" t="e">
        <f t="shared" si="15"/>
        <v>#VALUE!</v>
      </c>
      <c r="W12" s="139">
        <f t="shared" si="16"/>
      </c>
      <c r="X12" s="1"/>
    </row>
    <row r="13" spans="1:24" s="33" customFormat="1" ht="15" customHeight="1">
      <c r="A13" s="45">
        <f t="shared" si="17"/>
      </c>
      <c r="B13" s="40">
        <f t="shared" si="0"/>
      </c>
      <c r="C13" s="57"/>
      <c r="D13" s="36">
        <f t="shared" si="1"/>
      </c>
      <c r="E13" s="37">
        <f t="shared" si="2"/>
      </c>
      <c r="F13" s="38">
        <f t="shared" si="3"/>
      </c>
      <c r="G13" s="39">
        <f t="shared" si="4"/>
      </c>
      <c r="H13" s="38">
        <f t="shared" si="5"/>
      </c>
      <c r="I13" s="137">
        <f t="shared" si="6"/>
      </c>
      <c r="J13" s="69"/>
      <c r="K13" s="70"/>
      <c r="L13" s="42">
        <f t="shared" si="7"/>
        <v>0</v>
      </c>
      <c r="M13" s="42">
        <f t="shared" si="8"/>
        <v>0</v>
      </c>
      <c r="N13" s="89">
        <f t="shared" si="9"/>
      </c>
      <c r="O13" s="73"/>
      <c r="P13" s="74"/>
      <c r="Q13" s="42">
        <f t="shared" si="10"/>
        <v>0</v>
      </c>
      <c r="R13" s="42">
        <f t="shared" si="11"/>
        <v>0</v>
      </c>
      <c r="S13" s="85">
        <f t="shared" si="12"/>
      </c>
      <c r="T13" s="82">
        <f t="shared" si="13"/>
        <v>0</v>
      </c>
      <c r="U13" s="86">
        <f t="shared" si="14"/>
      </c>
      <c r="V13" s="84" t="e">
        <f t="shared" si="15"/>
        <v>#VALUE!</v>
      </c>
      <c r="W13" s="139">
        <f t="shared" si="16"/>
      </c>
      <c r="X13" s="1"/>
    </row>
    <row r="14" spans="1:24" s="33" customFormat="1" ht="15" customHeight="1">
      <c r="A14" s="45">
        <f t="shared" si="17"/>
      </c>
      <c r="B14" s="40">
        <f t="shared" si="0"/>
      </c>
      <c r="C14" s="57"/>
      <c r="D14" s="36">
        <f t="shared" si="1"/>
      </c>
      <c r="E14" s="37">
        <f t="shared" si="2"/>
      </c>
      <c r="F14" s="38">
        <f t="shared" si="3"/>
      </c>
      <c r="G14" s="39">
        <f t="shared" si="4"/>
      </c>
      <c r="H14" s="38">
        <f t="shared" si="5"/>
      </c>
      <c r="I14" s="137">
        <f t="shared" si="6"/>
      </c>
      <c r="J14" s="69"/>
      <c r="K14" s="70"/>
      <c r="L14" s="42">
        <f t="shared" si="7"/>
        <v>0</v>
      </c>
      <c r="M14" s="42">
        <f t="shared" si="8"/>
        <v>0</v>
      </c>
      <c r="N14" s="89">
        <f t="shared" si="9"/>
      </c>
      <c r="O14" s="73"/>
      <c r="P14" s="74"/>
      <c r="Q14" s="42">
        <f t="shared" si="10"/>
        <v>0</v>
      </c>
      <c r="R14" s="42">
        <f t="shared" si="11"/>
        <v>0</v>
      </c>
      <c r="S14" s="85">
        <f t="shared" si="12"/>
      </c>
      <c r="T14" s="82">
        <f t="shared" si="13"/>
        <v>0</v>
      </c>
      <c r="U14" s="86">
        <f t="shared" si="14"/>
      </c>
      <c r="V14" s="84" t="e">
        <f t="shared" si="15"/>
        <v>#VALUE!</v>
      </c>
      <c r="W14" s="139">
        <f t="shared" si="16"/>
      </c>
      <c r="X14" s="1"/>
    </row>
    <row r="15" spans="1:24" s="33" customFormat="1" ht="15" customHeight="1">
      <c r="A15" s="45">
        <f t="shared" si="17"/>
      </c>
      <c r="B15" s="40">
        <f t="shared" si="0"/>
      </c>
      <c r="C15" s="57"/>
      <c r="D15" s="36">
        <f t="shared" si="1"/>
      </c>
      <c r="E15" s="37">
        <f t="shared" si="2"/>
      </c>
      <c r="F15" s="38">
        <f t="shared" si="3"/>
      </c>
      <c r="G15" s="39">
        <f t="shared" si="4"/>
      </c>
      <c r="H15" s="38">
        <f t="shared" si="5"/>
      </c>
      <c r="I15" s="137">
        <f t="shared" si="6"/>
      </c>
      <c r="J15" s="69"/>
      <c r="K15" s="70"/>
      <c r="L15" s="42">
        <f t="shared" si="7"/>
        <v>0</v>
      </c>
      <c r="M15" s="42">
        <f t="shared" si="8"/>
        <v>0</v>
      </c>
      <c r="N15" s="89">
        <f t="shared" si="9"/>
      </c>
      <c r="O15" s="73"/>
      <c r="P15" s="74"/>
      <c r="Q15" s="42">
        <f t="shared" si="10"/>
        <v>0</v>
      </c>
      <c r="R15" s="42">
        <f t="shared" si="11"/>
        <v>0</v>
      </c>
      <c r="S15" s="85">
        <f t="shared" si="12"/>
      </c>
      <c r="T15" s="82">
        <f t="shared" si="13"/>
        <v>0</v>
      </c>
      <c r="U15" s="86">
        <f t="shared" si="14"/>
      </c>
      <c r="V15" s="84" t="e">
        <f t="shared" si="15"/>
        <v>#VALUE!</v>
      </c>
      <c r="W15" s="139">
        <f t="shared" si="16"/>
      </c>
      <c r="X15" s="1"/>
    </row>
    <row r="16" spans="1:24" s="33" customFormat="1" ht="15" customHeight="1">
      <c r="A16" s="45">
        <f t="shared" si="17"/>
      </c>
      <c r="B16" s="40">
        <f t="shared" si="0"/>
      </c>
      <c r="C16" s="57"/>
      <c r="D16" s="36">
        <f t="shared" si="1"/>
      </c>
      <c r="E16" s="37">
        <f t="shared" si="2"/>
      </c>
      <c r="F16" s="38">
        <f t="shared" si="3"/>
      </c>
      <c r="G16" s="39">
        <f t="shared" si="4"/>
      </c>
      <c r="H16" s="38">
        <f t="shared" si="5"/>
      </c>
      <c r="I16" s="137">
        <f t="shared" si="6"/>
      </c>
      <c r="J16" s="69"/>
      <c r="K16" s="70"/>
      <c r="L16" s="42">
        <f t="shared" si="7"/>
        <v>0</v>
      </c>
      <c r="M16" s="42">
        <f t="shared" si="8"/>
        <v>0</v>
      </c>
      <c r="N16" s="89">
        <f t="shared" si="9"/>
      </c>
      <c r="O16" s="73"/>
      <c r="P16" s="74"/>
      <c r="Q16" s="42">
        <f t="shared" si="10"/>
        <v>0</v>
      </c>
      <c r="R16" s="42">
        <f t="shared" si="11"/>
        <v>0</v>
      </c>
      <c r="S16" s="85">
        <f t="shared" si="12"/>
      </c>
      <c r="T16" s="82">
        <f t="shared" si="13"/>
        <v>0</v>
      </c>
      <c r="U16" s="86">
        <f t="shared" si="14"/>
      </c>
      <c r="V16" s="84" t="e">
        <f t="shared" si="15"/>
        <v>#VALUE!</v>
      </c>
      <c r="W16" s="139">
        <f t="shared" si="16"/>
      </c>
      <c r="X16" s="1"/>
    </row>
    <row r="17" spans="1:24" s="33" customFormat="1" ht="15" customHeight="1">
      <c r="A17" s="45">
        <f t="shared" si="17"/>
      </c>
      <c r="B17" s="40">
        <f t="shared" si="0"/>
      </c>
      <c r="C17" s="57"/>
      <c r="D17" s="36">
        <f t="shared" si="1"/>
      </c>
      <c r="E17" s="37">
        <f t="shared" si="2"/>
      </c>
      <c r="F17" s="38">
        <f t="shared" si="3"/>
      </c>
      <c r="G17" s="39">
        <f t="shared" si="4"/>
      </c>
      <c r="H17" s="38">
        <f t="shared" si="5"/>
      </c>
      <c r="I17" s="137">
        <f t="shared" si="6"/>
      </c>
      <c r="J17" s="69"/>
      <c r="K17" s="70"/>
      <c r="L17" s="42">
        <f t="shared" si="7"/>
        <v>0</v>
      </c>
      <c r="M17" s="42">
        <f t="shared" si="8"/>
        <v>0</v>
      </c>
      <c r="N17" s="89">
        <f t="shared" si="9"/>
      </c>
      <c r="O17" s="73"/>
      <c r="P17" s="74"/>
      <c r="Q17" s="42">
        <f t="shared" si="10"/>
        <v>0</v>
      </c>
      <c r="R17" s="42">
        <f t="shared" si="11"/>
        <v>0</v>
      </c>
      <c r="S17" s="85">
        <f t="shared" si="12"/>
      </c>
      <c r="T17" s="82">
        <f t="shared" si="13"/>
        <v>0</v>
      </c>
      <c r="U17" s="86">
        <f t="shared" si="14"/>
      </c>
      <c r="V17" s="84" t="e">
        <f t="shared" si="15"/>
        <v>#VALUE!</v>
      </c>
      <c r="W17" s="139">
        <f t="shared" si="16"/>
      </c>
      <c r="X17" s="1"/>
    </row>
    <row r="18" spans="1:24" s="33" customFormat="1" ht="15" customHeight="1">
      <c r="A18" s="45">
        <f t="shared" si="17"/>
      </c>
      <c r="B18" s="40">
        <f t="shared" si="0"/>
      </c>
      <c r="C18" s="57"/>
      <c r="D18" s="36">
        <f t="shared" si="1"/>
      </c>
      <c r="E18" s="37">
        <f t="shared" si="2"/>
      </c>
      <c r="F18" s="38">
        <f t="shared" si="3"/>
      </c>
      <c r="G18" s="39">
        <f t="shared" si="4"/>
      </c>
      <c r="H18" s="38">
        <f t="shared" si="5"/>
      </c>
      <c r="I18" s="137">
        <f t="shared" si="6"/>
      </c>
      <c r="J18" s="69"/>
      <c r="K18" s="70"/>
      <c r="L18" s="42">
        <f t="shared" si="7"/>
        <v>0</v>
      </c>
      <c r="M18" s="42">
        <f t="shared" si="8"/>
        <v>0</v>
      </c>
      <c r="N18" s="89">
        <f t="shared" si="9"/>
      </c>
      <c r="O18" s="73"/>
      <c r="P18" s="74"/>
      <c r="Q18" s="42">
        <f t="shared" si="10"/>
        <v>0</v>
      </c>
      <c r="R18" s="42">
        <f t="shared" si="11"/>
        <v>0</v>
      </c>
      <c r="S18" s="85">
        <f t="shared" si="12"/>
      </c>
      <c r="T18" s="82">
        <f t="shared" si="13"/>
        <v>0</v>
      </c>
      <c r="U18" s="86">
        <f t="shared" si="14"/>
      </c>
      <c r="V18" s="84" t="e">
        <f t="shared" si="15"/>
        <v>#VALUE!</v>
      </c>
      <c r="W18" s="139">
        <f t="shared" si="16"/>
      </c>
      <c r="X18" s="1"/>
    </row>
    <row r="19" spans="1:24" s="33" customFormat="1" ht="15" customHeight="1">
      <c r="A19" s="45">
        <f t="shared" si="17"/>
      </c>
      <c r="B19" s="40">
        <f t="shared" si="0"/>
      </c>
      <c r="C19" s="57"/>
      <c r="D19" s="36">
        <f t="shared" si="1"/>
      </c>
      <c r="E19" s="37">
        <f t="shared" si="2"/>
      </c>
      <c r="F19" s="38">
        <f t="shared" si="3"/>
      </c>
      <c r="G19" s="39">
        <f t="shared" si="4"/>
      </c>
      <c r="H19" s="38">
        <f t="shared" si="5"/>
      </c>
      <c r="I19" s="137">
        <f t="shared" si="6"/>
      </c>
      <c r="J19" s="69"/>
      <c r="K19" s="70"/>
      <c r="L19" s="42">
        <f t="shared" si="7"/>
        <v>0</v>
      </c>
      <c r="M19" s="42">
        <f t="shared" si="8"/>
        <v>0</v>
      </c>
      <c r="N19" s="89">
        <f t="shared" si="9"/>
      </c>
      <c r="O19" s="73"/>
      <c r="P19" s="74"/>
      <c r="Q19" s="42">
        <f t="shared" si="10"/>
        <v>0</v>
      </c>
      <c r="R19" s="42">
        <f t="shared" si="11"/>
        <v>0</v>
      </c>
      <c r="S19" s="85">
        <f t="shared" si="12"/>
      </c>
      <c r="T19" s="82">
        <f t="shared" si="13"/>
        <v>0</v>
      </c>
      <c r="U19" s="86">
        <f t="shared" si="14"/>
      </c>
      <c r="V19" s="84" t="e">
        <f t="shared" si="15"/>
        <v>#VALUE!</v>
      </c>
      <c r="W19" s="139">
        <f t="shared" si="16"/>
      </c>
      <c r="X19" s="1"/>
    </row>
    <row r="20" spans="1:24" s="33" customFormat="1" ht="15" customHeight="1">
      <c r="A20" s="45">
        <f t="shared" si="17"/>
      </c>
      <c r="B20" s="40">
        <f t="shared" si="0"/>
      </c>
      <c r="C20" s="57"/>
      <c r="D20" s="36">
        <f t="shared" si="1"/>
      </c>
      <c r="E20" s="37">
        <f t="shared" si="2"/>
      </c>
      <c r="F20" s="38">
        <f t="shared" si="3"/>
      </c>
      <c r="G20" s="39">
        <f t="shared" si="4"/>
      </c>
      <c r="H20" s="38">
        <f t="shared" si="5"/>
      </c>
      <c r="I20" s="137">
        <f t="shared" si="6"/>
      </c>
      <c r="J20" s="69"/>
      <c r="K20" s="70"/>
      <c r="L20" s="42">
        <f t="shared" si="7"/>
        <v>0</v>
      </c>
      <c r="M20" s="42">
        <f t="shared" si="8"/>
        <v>0</v>
      </c>
      <c r="N20" s="89">
        <f t="shared" si="9"/>
      </c>
      <c r="O20" s="73"/>
      <c r="P20" s="74"/>
      <c r="Q20" s="42">
        <f t="shared" si="10"/>
        <v>0</v>
      </c>
      <c r="R20" s="42">
        <f t="shared" si="11"/>
        <v>0</v>
      </c>
      <c r="S20" s="85">
        <f t="shared" si="12"/>
      </c>
      <c r="T20" s="82">
        <f t="shared" si="13"/>
        <v>0</v>
      </c>
      <c r="U20" s="86">
        <f t="shared" si="14"/>
      </c>
      <c r="V20" s="84" t="e">
        <f t="shared" si="15"/>
        <v>#VALUE!</v>
      </c>
      <c r="W20" s="139">
        <f t="shared" si="16"/>
      </c>
      <c r="X20" s="1"/>
    </row>
    <row r="21" spans="1:24" s="33" customFormat="1" ht="15" customHeight="1">
      <c r="A21" s="45">
        <f t="shared" si="17"/>
      </c>
      <c r="B21" s="40">
        <f t="shared" si="0"/>
      </c>
      <c r="C21" s="57"/>
      <c r="D21" s="36">
        <f t="shared" si="1"/>
      </c>
      <c r="E21" s="37">
        <f t="shared" si="2"/>
      </c>
      <c r="F21" s="38">
        <f t="shared" si="3"/>
      </c>
      <c r="G21" s="39">
        <f t="shared" si="4"/>
      </c>
      <c r="H21" s="38">
        <f t="shared" si="5"/>
      </c>
      <c r="I21" s="137">
        <f t="shared" si="6"/>
      </c>
      <c r="J21" s="69"/>
      <c r="K21" s="70"/>
      <c r="L21" s="42">
        <f t="shared" si="7"/>
        <v>0</v>
      </c>
      <c r="M21" s="42">
        <f t="shared" si="8"/>
        <v>0</v>
      </c>
      <c r="N21" s="89">
        <f t="shared" si="9"/>
      </c>
      <c r="O21" s="73"/>
      <c r="P21" s="74"/>
      <c r="Q21" s="42">
        <f t="shared" si="10"/>
        <v>0</v>
      </c>
      <c r="R21" s="42">
        <f t="shared" si="11"/>
        <v>0</v>
      </c>
      <c r="S21" s="85">
        <f t="shared" si="12"/>
      </c>
      <c r="T21" s="82">
        <f t="shared" si="13"/>
        <v>0</v>
      </c>
      <c r="U21" s="86">
        <f t="shared" si="14"/>
      </c>
      <c r="V21" s="84" t="e">
        <f t="shared" si="15"/>
        <v>#VALUE!</v>
      </c>
      <c r="W21" s="139">
        <f t="shared" si="16"/>
      </c>
      <c r="X21" s="1"/>
    </row>
    <row r="22" spans="1:24" s="33" customFormat="1" ht="15" customHeight="1">
      <c r="A22" s="45">
        <f t="shared" si="17"/>
      </c>
      <c r="B22" s="40">
        <f t="shared" si="0"/>
      </c>
      <c r="C22" s="57"/>
      <c r="D22" s="36">
        <f t="shared" si="1"/>
      </c>
      <c r="E22" s="37">
        <f t="shared" si="2"/>
      </c>
      <c r="F22" s="38">
        <f t="shared" si="3"/>
      </c>
      <c r="G22" s="39">
        <f t="shared" si="4"/>
      </c>
      <c r="H22" s="38">
        <f t="shared" si="5"/>
      </c>
      <c r="I22" s="137">
        <f t="shared" si="6"/>
      </c>
      <c r="J22" s="69"/>
      <c r="K22" s="70"/>
      <c r="L22" s="42">
        <f t="shared" si="7"/>
        <v>0</v>
      </c>
      <c r="M22" s="42">
        <f t="shared" si="8"/>
        <v>0</v>
      </c>
      <c r="N22" s="89">
        <f t="shared" si="9"/>
      </c>
      <c r="O22" s="73"/>
      <c r="P22" s="74"/>
      <c r="Q22" s="42">
        <f t="shared" si="10"/>
        <v>0</v>
      </c>
      <c r="R22" s="42">
        <f t="shared" si="11"/>
        <v>0</v>
      </c>
      <c r="S22" s="85">
        <f t="shared" si="12"/>
      </c>
      <c r="T22" s="82">
        <f t="shared" si="13"/>
        <v>0</v>
      </c>
      <c r="U22" s="86">
        <f t="shared" si="14"/>
      </c>
      <c r="V22" s="84" t="e">
        <f t="shared" si="15"/>
        <v>#VALUE!</v>
      </c>
      <c r="W22" s="139">
        <f t="shared" si="16"/>
      </c>
      <c r="X22" s="1"/>
    </row>
    <row r="23" spans="1:24" s="33" customFormat="1" ht="15" customHeight="1">
      <c r="A23" s="45">
        <f t="shared" si="17"/>
      </c>
      <c r="B23" s="40">
        <f t="shared" si="0"/>
      </c>
      <c r="C23" s="57"/>
      <c r="D23" s="36">
        <f t="shared" si="1"/>
      </c>
      <c r="E23" s="37">
        <f t="shared" si="2"/>
      </c>
      <c r="F23" s="38">
        <f t="shared" si="3"/>
      </c>
      <c r="G23" s="39">
        <f t="shared" si="4"/>
      </c>
      <c r="H23" s="38">
        <f t="shared" si="5"/>
      </c>
      <c r="I23" s="137">
        <f t="shared" si="6"/>
      </c>
      <c r="J23" s="69"/>
      <c r="K23" s="70"/>
      <c r="L23" s="42">
        <f t="shared" si="7"/>
        <v>0</v>
      </c>
      <c r="M23" s="42">
        <f t="shared" si="8"/>
        <v>0</v>
      </c>
      <c r="N23" s="89">
        <f t="shared" si="9"/>
      </c>
      <c r="O23" s="73"/>
      <c r="P23" s="74"/>
      <c r="Q23" s="42">
        <f t="shared" si="10"/>
        <v>0</v>
      </c>
      <c r="R23" s="42">
        <f t="shared" si="11"/>
        <v>0</v>
      </c>
      <c r="S23" s="85">
        <f t="shared" si="12"/>
      </c>
      <c r="T23" s="82">
        <f t="shared" si="13"/>
        <v>0</v>
      </c>
      <c r="U23" s="86">
        <f t="shared" si="14"/>
      </c>
      <c r="V23" s="84" t="e">
        <f t="shared" si="15"/>
        <v>#VALUE!</v>
      </c>
      <c r="W23" s="139">
        <f t="shared" si="16"/>
      </c>
      <c r="X23" s="1"/>
    </row>
    <row r="24" spans="1:24" s="33" customFormat="1" ht="15" customHeight="1">
      <c r="A24" s="45">
        <f t="shared" si="17"/>
      </c>
      <c r="B24" s="40">
        <f t="shared" si="0"/>
      </c>
      <c r="C24" s="57"/>
      <c r="D24" s="36">
        <f t="shared" si="1"/>
      </c>
      <c r="E24" s="37">
        <f t="shared" si="2"/>
      </c>
      <c r="F24" s="38">
        <f t="shared" si="3"/>
      </c>
      <c r="G24" s="39">
        <f t="shared" si="4"/>
      </c>
      <c r="H24" s="38">
        <f t="shared" si="5"/>
      </c>
      <c r="I24" s="137">
        <f t="shared" si="6"/>
      </c>
      <c r="J24" s="69"/>
      <c r="K24" s="70"/>
      <c r="L24" s="42">
        <f t="shared" si="7"/>
        <v>0</v>
      </c>
      <c r="M24" s="42">
        <f t="shared" si="8"/>
        <v>0</v>
      </c>
      <c r="N24" s="89">
        <f t="shared" si="9"/>
      </c>
      <c r="O24" s="73"/>
      <c r="P24" s="74"/>
      <c r="Q24" s="42">
        <f t="shared" si="10"/>
        <v>0</v>
      </c>
      <c r="R24" s="42">
        <f t="shared" si="11"/>
        <v>0</v>
      </c>
      <c r="S24" s="85">
        <f t="shared" si="12"/>
      </c>
      <c r="T24" s="82">
        <f t="shared" si="13"/>
        <v>0</v>
      </c>
      <c r="U24" s="86">
        <f t="shared" si="14"/>
      </c>
      <c r="V24" s="84" t="e">
        <f t="shared" si="15"/>
        <v>#VALUE!</v>
      </c>
      <c r="W24" s="139">
        <f t="shared" si="16"/>
      </c>
      <c r="X24" s="1"/>
    </row>
    <row r="25" spans="1:24" s="33" customFormat="1" ht="15" customHeight="1">
      <c r="A25" s="45">
        <f t="shared" si="17"/>
      </c>
      <c r="B25" s="40">
        <f t="shared" si="0"/>
      </c>
      <c r="C25" s="57"/>
      <c r="D25" s="36">
        <f t="shared" si="1"/>
      </c>
      <c r="E25" s="37">
        <f t="shared" si="2"/>
      </c>
      <c r="F25" s="38">
        <f t="shared" si="3"/>
      </c>
      <c r="G25" s="39">
        <f t="shared" si="4"/>
      </c>
      <c r="H25" s="38">
        <f t="shared" si="5"/>
      </c>
      <c r="I25" s="137">
        <f t="shared" si="6"/>
      </c>
      <c r="J25" s="69"/>
      <c r="K25" s="70"/>
      <c r="L25" s="42">
        <f t="shared" si="7"/>
        <v>0</v>
      </c>
      <c r="M25" s="42">
        <f t="shared" si="8"/>
        <v>0</v>
      </c>
      <c r="N25" s="89">
        <f t="shared" si="9"/>
      </c>
      <c r="O25" s="73"/>
      <c r="P25" s="74"/>
      <c r="Q25" s="42">
        <f t="shared" si="10"/>
        <v>0</v>
      </c>
      <c r="R25" s="42">
        <f t="shared" si="11"/>
        <v>0</v>
      </c>
      <c r="S25" s="85">
        <f t="shared" si="12"/>
      </c>
      <c r="T25" s="82">
        <f t="shared" si="13"/>
        <v>0</v>
      </c>
      <c r="U25" s="86">
        <f t="shared" si="14"/>
      </c>
      <c r="V25" s="84" t="e">
        <f t="shared" si="15"/>
        <v>#VALUE!</v>
      </c>
      <c r="W25" s="139">
        <f t="shared" si="16"/>
      </c>
      <c r="X25" s="1"/>
    </row>
    <row r="26" spans="1:24" s="33" customFormat="1" ht="15" customHeight="1">
      <c r="A26" s="45">
        <f t="shared" si="17"/>
      </c>
      <c r="B26" s="40">
        <f t="shared" si="0"/>
      </c>
      <c r="C26" s="57"/>
      <c r="D26" s="36">
        <f t="shared" si="1"/>
      </c>
      <c r="E26" s="37">
        <f t="shared" si="2"/>
      </c>
      <c r="F26" s="38">
        <f t="shared" si="3"/>
      </c>
      <c r="G26" s="39">
        <f t="shared" si="4"/>
      </c>
      <c r="H26" s="38">
        <f t="shared" si="5"/>
      </c>
      <c r="I26" s="137">
        <f t="shared" si="6"/>
      </c>
      <c r="J26" s="69"/>
      <c r="K26" s="70"/>
      <c r="L26" s="42">
        <f t="shared" si="7"/>
        <v>0</v>
      </c>
      <c r="M26" s="42">
        <f t="shared" si="8"/>
        <v>0</v>
      </c>
      <c r="N26" s="89">
        <f t="shared" si="9"/>
      </c>
      <c r="O26" s="73"/>
      <c r="P26" s="74"/>
      <c r="Q26" s="42">
        <f t="shared" si="10"/>
        <v>0</v>
      </c>
      <c r="R26" s="42">
        <f t="shared" si="11"/>
        <v>0</v>
      </c>
      <c r="S26" s="85">
        <f t="shared" si="12"/>
      </c>
      <c r="T26" s="82">
        <f t="shared" si="13"/>
        <v>0</v>
      </c>
      <c r="U26" s="86">
        <f t="shared" si="14"/>
      </c>
      <c r="V26" s="84" t="e">
        <f t="shared" si="15"/>
        <v>#VALUE!</v>
      </c>
      <c r="W26" s="139">
        <f t="shared" si="16"/>
      </c>
      <c r="X26" s="1"/>
    </row>
    <row r="27" spans="1:24" s="33" customFormat="1" ht="15" customHeight="1">
      <c r="A27" s="45">
        <f t="shared" si="17"/>
      </c>
      <c r="B27" s="40">
        <f t="shared" si="0"/>
      </c>
      <c r="C27" s="57"/>
      <c r="D27" s="36">
        <f t="shared" si="1"/>
      </c>
      <c r="E27" s="37">
        <f t="shared" si="2"/>
      </c>
      <c r="F27" s="38">
        <f t="shared" si="3"/>
      </c>
      <c r="G27" s="39">
        <f t="shared" si="4"/>
      </c>
      <c r="H27" s="38">
        <f t="shared" si="5"/>
      </c>
      <c r="I27" s="137">
        <f t="shared" si="6"/>
      </c>
      <c r="J27" s="69"/>
      <c r="K27" s="70"/>
      <c r="L27" s="42">
        <f t="shared" si="7"/>
        <v>0</v>
      </c>
      <c r="M27" s="42">
        <f t="shared" si="8"/>
        <v>0</v>
      </c>
      <c r="N27" s="89">
        <f t="shared" si="9"/>
      </c>
      <c r="O27" s="73"/>
      <c r="P27" s="74"/>
      <c r="Q27" s="42">
        <f t="shared" si="10"/>
        <v>0</v>
      </c>
      <c r="R27" s="42">
        <f t="shared" si="11"/>
        <v>0</v>
      </c>
      <c r="S27" s="85">
        <f t="shared" si="12"/>
      </c>
      <c r="T27" s="82">
        <f t="shared" si="13"/>
        <v>0</v>
      </c>
      <c r="U27" s="86">
        <f t="shared" si="14"/>
      </c>
      <c r="V27" s="84" t="e">
        <f t="shared" si="15"/>
        <v>#VALUE!</v>
      </c>
      <c r="W27" s="139">
        <f t="shared" si="16"/>
      </c>
      <c r="X27" s="1"/>
    </row>
    <row r="28" spans="1:24" s="33" customFormat="1" ht="15" customHeight="1">
      <c r="A28" s="45">
        <f t="shared" si="17"/>
      </c>
      <c r="B28" s="40">
        <f t="shared" si="0"/>
      </c>
      <c r="C28" s="57"/>
      <c r="D28" s="36">
        <f t="shared" si="1"/>
      </c>
      <c r="E28" s="37">
        <f t="shared" si="2"/>
      </c>
      <c r="F28" s="38">
        <f t="shared" si="3"/>
      </c>
      <c r="G28" s="39">
        <f t="shared" si="4"/>
      </c>
      <c r="H28" s="38">
        <f t="shared" si="5"/>
      </c>
      <c r="I28" s="137">
        <f t="shared" si="6"/>
      </c>
      <c r="J28" s="69"/>
      <c r="K28" s="70"/>
      <c r="L28" s="42">
        <f t="shared" si="7"/>
        <v>0</v>
      </c>
      <c r="M28" s="42">
        <f t="shared" si="8"/>
        <v>0</v>
      </c>
      <c r="N28" s="89">
        <f t="shared" si="9"/>
      </c>
      <c r="O28" s="73"/>
      <c r="P28" s="74"/>
      <c r="Q28" s="42">
        <f t="shared" si="10"/>
        <v>0</v>
      </c>
      <c r="R28" s="42">
        <f t="shared" si="11"/>
        <v>0</v>
      </c>
      <c r="S28" s="85">
        <f t="shared" si="12"/>
      </c>
      <c r="T28" s="82">
        <f t="shared" si="13"/>
        <v>0</v>
      </c>
      <c r="U28" s="86">
        <f t="shared" si="14"/>
      </c>
      <c r="V28" s="84" t="e">
        <f t="shared" si="15"/>
        <v>#VALUE!</v>
      </c>
      <c r="W28" s="139">
        <f t="shared" si="16"/>
      </c>
      <c r="X28" s="1"/>
    </row>
    <row r="29" spans="1:24" s="33" customFormat="1" ht="15" customHeight="1">
      <c r="A29" s="45">
        <f t="shared" si="17"/>
      </c>
      <c r="B29" s="40">
        <f t="shared" si="0"/>
      </c>
      <c r="C29" s="57"/>
      <c r="D29" s="36">
        <f t="shared" si="1"/>
      </c>
      <c r="E29" s="37">
        <f t="shared" si="2"/>
      </c>
      <c r="F29" s="38">
        <f t="shared" si="3"/>
      </c>
      <c r="G29" s="39">
        <f t="shared" si="4"/>
      </c>
      <c r="H29" s="38">
        <f t="shared" si="5"/>
      </c>
      <c r="I29" s="137">
        <f t="shared" si="6"/>
      </c>
      <c r="J29" s="69"/>
      <c r="K29" s="70"/>
      <c r="L29" s="42">
        <f t="shared" si="7"/>
        <v>0</v>
      </c>
      <c r="M29" s="42">
        <f t="shared" si="8"/>
        <v>0</v>
      </c>
      <c r="N29" s="89">
        <f t="shared" si="9"/>
      </c>
      <c r="O29" s="73"/>
      <c r="P29" s="74"/>
      <c r="Q29" s="42">
        <f t="shared" si="10"/>
        <v>0</v>
      </c>
      <c r="R29" s="42">
        <f t="shared" si="11"/>
        <v>0</v>
      </c>
      <c r="S29" s="85">
        <f t="shared" si="12"/>
      </c>
      <c r="T29" s="82">
        <f t="shared" si="13"/>
        <v>0</v>
      </c>
      <c r="U29" s="86">
        <f t="shared" si="14"/>
      </c>
      <c r="V29" s="84" t="e">
        <f t="shared" si="15"/>
        <v>#VALUE!</v>
      </c>
      <c r="W29" s="139">
        <f t="shared" si="16"/>
      </c>
      <c r="X29" s="1"/>
    </row>
    <row r="30" spans="1:24" s="33" customFormat="1" ht="15" customHeight="1">
      <c r="A30" s="45">
        <f t="shared" si="17"/>
      </c>
      <c r="B30" s="40">
        <f t="shared" si="0"/>
      </c>
      <c r="C30" s="57"/>
      <c r="D30" s="36">
        <f t="shared" si="1"/>
      </c>
      <c r="E30" s="37">
        <f t="shared" si="2"/>
      </c>
      <c r="F30" s="38">
        <f t="shared" si="3"/>
      </c>
      <c r="G30" s="39">
        <f t="shared" si="4"/>
      </c>
      <c r="H30" s="38">
        <f t="shared" si="5"/>
      </c>
      <c r="I30" s="137">
        <f t="shared" si="6"/>
      </c>
      <c r="J30" s="69"/>
      <c r="K30" s="70"/>
      <c r="L30" s="42">
        <f t="shared" si="7"/>
        <v>0</v>
      </c>
      <c r="M30" s="42">
        <f t="shared" si="8"/>
        <v>0</v>
      </c>
      <c r="N30" s="89">
        <f t="shared" si="9"/>
      </c>
      <c r="O30" s="73"/>
      <c r="P30" s="74"/>
      <c r="Q30" s="42">
        <f t="shared" si="10"/>
        <v>0</v>
      </c>
      <c r="R30" s="42">
        <f t="shared" si="11"/>
        <v>0</v>
      </c>
      <c r="S30" s="85">
        <f t="shared" si="12"/>
      </c>
      <c r="T30" s="82">
        <f t="shared" si="13"/>
        <v>0</v>
      </c>
      <c r="U30" s="86">
        <f t="shared" si="14"/>
      </c>
      <c r="V30" s="84" t="e">
        <f t="shared" si="15"/>
        <v>#VALUE!</v>
      </c>
      <c r="W30" s="139">
        <f t="shared" si="16"/>
      </c>
      <c r="X30" s="1"/>
    </row>
    <row r="31" spans="1:24" s="33" customFormat="1" ht="15" customHeight="1">
      <c r="A31" s="45">
        <f t="shared" si="17"/>
      </c>
      <c r="B31" s="40">
        <f t="shared" si="0"/>
      </c>
      <c r="C31" s="57"/>
      <c r="D31" s="36">
        <f t="shared" si="1"/>
      </c>
      <c r="E31" s="37">
        <f t="shared" si="2"/>
      </c>
      <c r="F31" s="38">
        <f t="shared" si="3"/>
      </c>
      <c r="G31" s="39">
        <f t="shared" si="4"/>
      </c>
      <c r="H31" s="38">
        <f t="shared" si="5"/>
      </c>
      <c r="I31" s="137">
        <f t="shared" si="6"/>
      </c>
      <c r="J31" s="69"/>
      <c r="K31" s="70"/>
      <c r="L31" s="42">
        <f t="shared" si="7"/>
        <v>0</v>
      </c>
      <c r="M31" s="42">
        <f t="shared" si="8"/>
        <v>0</v>
      </c>
      <c r="N31" s="89">
        <f t="shared" si="9"/>
      </c>
      <c r="O31" s="73"/>
      <c r="P31" s="74"/>
      <c r="Q31" s="42">
        <f t="shared" si="10"/>
        <v>0</v>
      </c>
      <c r="R31" s="42">
        <f t="shared" si="11"/>
        <v>0</v>
      </c>
      <c r="S31" s="85">
        <f t="shared" si="12"/>
      </c>
      <c r="T31" s="82">
        <f t="shared" si="13"/>
        <v>0</v>
      </c>
      <c r="U31" s="86">
        <f t="shared" si="14"/>
      </c>
      <c r="V31" s="84" t="e">
        <f t="shared" si="15"/>
        <v>#VALUE!</v>
      </c>
      <c r="W31" s="139">
        <f t="shared" si="16"/>
      </c>
      <c r="X31" s="1"/>
    </row>
    <row r="32" spans="1:24" s="33" customFormat="1" ht="15" customHeight="1">
      <c r="A32" s="45">
        <f t="shared" si="17"/>
      </c>
      <c r="B32" s="40">
        <f t="shared" si="0"/>
      </c>
      <c r="C32" s="57"/>
      <c r="D32" s="36">
        <f t="shared" si="1"/>
      </c>
      <c r="E32" s="37">
        <f t="shared" si="2"/>
      </c>
      <c r="F32" s="38">
        <f t="shared" si="3"/>
      </c>
      <c r="G32" s="39">
        <f t="shared" si="4"/>
      </c>
      <c r="H32" s="38">
        <f t="shared" si="5"/>
      </c>
      <c r="I32" s="137">
        <f t="shared" si="6"/>
      </c>
      <c r="J32" s="69"/>
      <c r="K32" s="70"/>
      <c r="L32" s="42">
        <f t="shared" si="7"/>
        <v>0</v>
      </c>
      <c r="M32" s="42">
        <f t="shared" si="8"/>
        <v>0</v>
      </c>
      <c r="N32" s="89">
        <f t="shared" si="9"/>
      </c>
      <c r="O32" s="73"/>
      <c r="P32" s="74"/>
      <c r="Q32" s="42">
        <f t="shared" si="10"/>
        <v>0</v>
      </c>
      <c r="R32" s="42">
        <f t="shared" si="11"/>
        <v>0</v>
      </c>
      <c r="S32" s="85">
        <f t="shared" si="12"/>
      </c>
      <c r="T32" s="82">
        <f t="shared" si="13"/>
        <v>0</v>
      </c>
      <c r="U32" s="86">
        <f t="shared" si="14"/>
      </c>
      <c r="V32" s="84" t="e">
        <f t="shared" si="15"/>
        <v>#VALUE!</v>
      </c>
      <c r="W32" s="139">
        <f t="shared" si="16"/>
      </c>
      <c r="X32" s="1"/>
    </row>
    <row r="33" spans="1:24" s="33" customFormat="1" ht="15" customHeight="1">
      <c r="A33" s="45">
        <f t="shared" si="17"/>
      </c>
      <c r="B33" s="40">
        <f t="shared" si="0"/>
      </c>
      <c r="C33" s="57"/>
      <c r="D33" s="36">
        <f t="shared" si="1"/>
      </c>
      <c r="E33" s="37">
        <f t="shared" si="2"/>
      </c>
      <c r="F33" s="38">
        <f t="shared" si="3"/>
      </c>
      <c r="G33" s="39">
        <f t="shared" si="4"/>
      </c>
      <c r="H33" s="38">
        <f t="shared" si="5"/>
      </c>
      <c r="I33" s="137">
        <f t="shared" si="6"/>
      </c>
      <c r="J33" s="69"/>
      <c r="K33" s="70"/>
      <c r="L33" s="42">
        <f t="shared" si="7"/>
        <v>0</v>
      </c>
      <c r="M33" s="42">
        <f t="shared" si="8"/>
        <v>0</v>
      </c>
      <c r="N33" s="89">
        <f t="shared" si="9"/>
      </c>
      <c r="O33" s="73"/>
      <c r="P33" s="74"/>
      <c r="Q33" s="42">
        <f t="shared" si="10"/>
        <v>0</v>
      </c>
      <c r="R33" s="42">
        <f t="shared" si="11"/>
        <v>0</v>
      </c>
      <c r="S33" s="85">
        <f t="shared" si="12"/>
      </c>
      <c r="T33" s="82">
        <f t="shared" si="13"/>
        <v>0</v>
      </c>
      <c r="U33" s="86">
        <f t="shared" si="14"/>
      </c>
      <c r="V33" s="84" t="e">
        <f t="shared" si="15"/>
        <v>#VALUE!</v>
      </c>
      <c r="W33" s="139">
        <f t="shared" si="16"/>
      </c>
      <c r="X33" s="1"/>
    </row>
    <row r="34" spans="1:24" s="33" customFormat="1" ht="15" customHeight="1" thickBot="1">
      <c r="A34" s="118">
        <f>IF(ISBLANK(C34),"",#REF!+1)</f>
      </c>
      <c r="B34" s="119">
        <f t="shared" si="0"/>
      </c>
      <c r="C34" s="120"/>
      <c r="D34" s="121">
        <f t="shared" si="1"/>
      </c>
      <c r="E34" s="122">
        <f t="shared" si="2"/>
      </c>
      <c r="F34" s="123">
        <f t="shared" si="3"/>
      </c>
      <c r="G34" s="124">
        <f t="shared" si="4"/>
      </c>
      <c r="H34" s="123">
        <f t="shared" si="5"/>
      </c>
      <c r="I34" s="123">
        <f t="shared" si="6"/>
      </c>
      <c r="J34" s="125"/>
      <c r="K34" s="126"/>
      <c r="L34" s="127">
        <f t="shared" si="7"/>
        <v>0</v>
      </c>
      <c r="M34" s="127">
        <f t="shared" si="8"/>
        <v>0</v>
      </c>
      <c r="N34" s="128">
        <f t="shared" si="9"/>
      </c>
      <c r="O34" s="129"/>
      <c r="P34" s="130"/>
      <c r="Q34" s="127">
        <f t="shared" si="10"/>
        <v>0</v>
      </c>
      <c r="R34" s="127">
        <f t="shared" si="11"/>
        <v>0</v>
      </c>
      <c r="S34" s="131">
        <f t="shared" si="12"/>
      </c>
      <c r="T34" s="132">
        <f t="shared" si="13"/>
        <v>0</v>
      </c>
      <c r="U34" s="133">
        <f t="shared" si="14"/>
      </c>
      <c r="V34" s="134" t="e">
        <f t="shared" si="15"/>
        <v>#VALUE!</v>
      </c>
      <c r="W34" s="140">
        <f t="shared" si="16"/>
      </c>
      <c r="X34" s="1"/>
    </row>
  </sheetData>
  <sheetProtection/>
  <conditionalFormatting sqref="B5:B34">
    <cfRule type="cellIs" priority="1" dxfId="7" operator="equal" stopIfTrue="1">
      <formula>Goldplakette</formula>
    </cfRule>
    <cfRule type="cellIs" priority="2" dxfId="6" operator="equal" stopIfTrue="1">
      <formula>Silberplakette</formula>
    </cfRule>
    <cfRule type="cellIs" priority="3" dxfId="5" operator="equal" stopIfTrue="1">
      <formula>Bronzeplakette</formula>
    </cfRule>
  </conditionalFormatting>
  <conditionalFormatting sqref="E5:E34">
    <cfRule type="expression" priority="4" dxfId="3" stopIfTrue="1">
      <formula>I5+H5=2</formula>
    </cfRule>
    <cfRule type="expression" priority="5" dxfId="9" stopIfTrue="1">
      <formula>H5=1</formula>
    </cfRule>
    <cfRule type="expression" priority="6" dxfId="1" stopIfTrue="1">
      <formula>I5=1</formula>
    </cfRule>
  </conditionalFormatting>
  <conditionalFormatting sqref="F5:G34 D5:D34">
    <cfRule type="cellIs" priority="7" dxfId="0" operator="equal" stopIfTrue="1">
      <formula>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2"/>
  <headerFooter alignWithMargins="0">
    <oddHeader>&amp;L&amp;"Arial,Fett Kursiv"&amp;12Klassen - Ergebnisliste</oddHeader>
    <oddFooter>&amp;L&amp;"Arial,Fett Kursiv"&amp;12&amp;D    &amp;T&amp;C&amp;"Arial,Fett Kursiv"&amp;12SPORTKOMMISSAR:&amp;R&amp;"Arial,Fett Kursiv"&amp;12 45:00,00 = a.d.W.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Auswertungsmodul Slalom</dc:title>
  <dc:subject>2 Läufe - Bester Lauf Wertung</dc:subject>
  <dc:creator>Rudi</dc:creator>
  <cp:keywords/>
  <dc:description/>
  <cp:lastModifiedBy>Rudolf Röttenbacher</cp:lastModifiedBy>
  <cp:lastPrinted>2016-07-09T18:18:21Z</cp:lastPrinted>
  <dcterms:created xsi:type="dcterms:W3CDTF">1998-12-03T14:33:31Z</dcterms:created>
  <dcterms:modified xsi:type="dcterms:W3CDTF">2016-07-11T09:36:33Z</dcterms:modified>
  <cp:category/>
  <cp:version/>
  <cp:contentType/>
  <cp:contentStatus/>
</cp:coreProperties>
</file>