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1"/>
  <workbookPr codeName="DieseArbeitsmappe" defaultThemeVersion="166925"/>
  <mc:AlternateContent xmlns:mc="http://schemas.openxmlformats.org/markup-compatibility/2006">
    <mc:Choice Requires="x15">
      <x15ac:absPath xmlns:x15ac="http://schemas.microsoft.com/office/spreadsheetml/2010/11/ac" url="https://uvexgroup-my.sharepoint.com/personal/m_prinner_uvex_de/Documents/PRIV/RALLYE/2024 JURA/"/>
    </mc:Choice>
  </mc:AlternateContent>
  <xr:revisionPtr revIDLastSave="0" documentId="8_{D0ADEC61-11AF-4C3D-A985-2C247DBB26E0}" xr6:coauthVersionLast="47" xr6:coauthVersionMax="47" xr10:uidLastSave="{00000000-0000-0000-0000-000000000000}"/>
  <bookViews>
    <workbookView xWindow="-120" yWindow="-120" windowWidth="29040" windowHeight="15840" tabRatio="802" firstSheet="14" activeTab="14" xr2:uid="{E9392135-B5F3-4BAC-B4DF-AAC054920AA8}"/>
  </bookViews>
  <sheets>
    <sheet name="Teilnehmer" sheetId="1" r:id="rId1"/>
    <sheet name="Eingabe Zeiten" sheetId="19" r:id="rId2"/>
    <sheet name="Ausgabe Zeiten" sheetId="2" r:id="rId3"/>
    <sheet name="G1 K4" sheetId="3" r:id="rId4"/>
    <sheet name="G1 K5" sheetId="20" r:id="rId5"/>
    <sheet name="G2 K6" sheetId="32" state="hidden" r:id="rId6"/>
    <sheet name="G2 K7" sheetId="33" r:id="rId7"/>
    <sheet name="G2 K8" sheetId="22" r:id="rId8"/>
    <sheet name="G2 K9" sheetId="23" r:id="rId9"/>
    <sheet name="G2 K10" sheetId="24" r:id="rId10"/>
    <sheet name="G3 K11" sheetId="25" r:id="rId11"/>
    <sheet name="G1" sheetId="12" r:id="rId12"/>
    <sheet name="G2" sheetId="13" r:id="rId13"/>
    <sheet name="G3" sheetId="14" r:id="rId14"/>
    <sheet name="Gesamtwertung" sheetId="15" r:id="rId15"/>
    <sheet name="Mannschaft" sheetId="16" r:id="rId16"/>
    <sheet name="Zwischenzeiten" sheetId="28" r:id="rId17"/>
    <sheet name="Einführungszeiten " sheetId="17" r:id="rId18"/>
    <sheet name="Wertungszeiten" sheetId="26" r:id="rId19"/>
  </sheets>
  <definedNames>
    <definedName name="_xlnm._FilterDatabase" localSheetId="11" hidden="1">'G1'!$C$5:$N$5</definedName>
    <definedName name="_xlnm._FilterDatabase" localSheetId="12" hidden="1">'G2'!$C$5:$N$5</definedName>
    <definedName name="_xlnm._FilterDatabase" localSheetId="5" hidden="1">'G2 K6'!$C$6:$S$6</definedName>
    <definedName name="_xlnm._FilterDatabase" localSheetId="13" hidden="1">'G3'!$C$5:$N$5</definedName>
    <definedName name="_xlnm._FilterDatabase" localSheetId="14" hidden="1">Gesamtwertung!$C$5:$Q$5</definedName>
    <definedName name="_xlnm._FilterDatabase" localSheetId="0" hidden="1">Teilnehmer!$B$4:$K$4</definedName>
    <definedName name="_xlnm._FilterDatabase" localSheetId="16" hidden="1">Zwischenzeiten!$C$6:$T$6</definedName>
    <definedName name="_xlnm._FilterDatabase" localSheetId="4" hidden="1">'G1 K5'!$C$6:$S$6</definedName>
    <definedName name="_xlnm._FilterDatabase" localSheetId="6" hidden="1">'G2 K7'!$C$6:$S$6</definedName>
    <definedName name="_xlnm._FilterDatabase" localSheetId="7" hidden="1">'G2 K8'!$C$6:$S$6</definedName>
    <definedName name="_xlnm._FilterDatabase" localSheetId="9" hidden="1">'G2 K10'!$C$6:$S$6</definedName>
    <definedName name="_xlnm._FilterDatabase" localSheetId="10" hidden="1">'G3 K11'!$C$6:$S$6</definedName>
    <definedName name="_xlnm._FilterDatabase" localSheetId="3" hidden="1">'G1 K4'!$C$6:$S$6</definedName>
    <definedName name="_xlnm._FilterDatabase" localSheetId="8" hidden="1">'G2 K9'!$C$6:$S$6</definedName>
    <definedName name="_xlnm.Print_Area" localSheetId="17">'Einführungszeiten '!$A$1:$G$40</definedName>
    <definedName name="_xlnm.Print_Area" localSheetId="5">'G2 K6'!$B$1:$T$12</definedName>
    <definedName name="_xlnm.Print_Area" localSheetId="15">Mannschaft!$A$1:$L$30</definedName>
    <definedName name="_xlnm.Print_Area" localSheetId="0">Teilnehmer!$B$1:$K$63</definedName>
    <definedName name="_xlnm.Print_Area" localSheetId="18">Wertungszeiten!$A$1:$G$40</definedName>
    <definedName name="_xlnm.Print_Area" localSheetId="16">Zwischenzeiten!$B$1:$T$76</definedName>
    <definedName name="_xlnm.Print_Area" localSheetId="10">'G3 K11'!$B$1:$T$17</definedName>
    <definedName name="_xlnm.Print_Area" localSheetId="9">'G2 K10'!$B$1:$T$14</definedName>
    <definedName name="_xlnm.Print_Area" localSheetId="8">'G2 K9'!$B$1:$T$26</definedName>
    <definedName name="_xlnm.Print_Area" localSheetId="7">'G2 K8'!$B$1:$T$17</definedName>
    <definedName name="_xlnm.Print_Area" localSheetId="6">'G2 K7'!$B$1:$T$9</definedName>
    <definedName name="_xlnm.Print_Area" localSheetId="4">'G1 K5'!$B$1:$T$12</definedName>
    <definedName name="_xlnm.Print_Area" localSheetId="3">'G1 K4'!$B$1:$T$17</definedName>
    <definedName name="_xlnm.Print_Area" localSheetId="11">'G1'!$B$1:$P$22</definedName>
    <definedName name="_xlnm.Print_Area" localSheetId="12">'G2'!$B$1:$P$47</definedName>
    <definedName name="_xlnm.Print_Area" localSheetId="13">'G3'!$B$1:$P$16</definedName>
    <definedName name="_xlnm.Print_Area" localSheetId="14">Gesamtwertung!$B$1:$M$75</definedName>
    <definedName name="_xlnm.Print_Titles" localSheetId="1">'Eingabe Zeiten'!$1:$10</definedName>
    <definedName name="_xlnm.Print_Titles" localSheetId="11">'G1'!$1:$5</definedName>
    <definedName name="_xlnm.Print_Titles" localSheetId="3">'G1 K4'!$1:$6</definedName>
    <definedName name="_xlnm.Print_Titles" localSheetId="4">'G1 K5'!$1:$6</definedName>
    <definedName name="_xlnm.Print_Titles" localSheetId="12">'G2'!$1:$5</definedName>
    <definedName name="_xlnm.Print_Titles" localSheetId="9">'G2 K10'!$1:$6</definedName>
    <definedName name="_xlnm.Print_Titles" localSheetId="5">'G2 K6'!$1:$6</definedName>
    <definedName name="_xlnm.Print_Titles" localSheetId="6">'G2 K7'!$1:$6</definedName>
    <definedName name="_xlnm.Print_Titles" localSheetId="7">'G2 K8'!$1:$6</definedName>
    <definedName name="_xlnm.Print_Titles" localSheetId="8">'G2 K9'!$1:$6</definedName>
    <definedName name="_xlnm.Print_Titles" localSheetId="13">'G3'!$1:$5</definedName>
    <definedName name="_xlnm.Print_Titles" localSheetId="10">'G3 K11'!$1:$6</definedName>
    <definedName name="_xlnm.Print_Titles" localSheetId="14">Gesamtwertung!$1:$5</definedName>
    <definedName name="_xlnm.Print_Titles" localSheetId="15">Mannschaft!$1:$3</definedName>
    <definedName name="_xlnm.Print_Titles" localSheetId="16">Zwischenzeiten!$1:$6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20" l="1"/>
  <c r="J3" i="14"/>
  <c r="B10" i="20"/>
  <c r="B11" i="20"/>
  <c r="B12" i="20"/>
  <c r="B17" i="22"/>
  <c r="L4" i="22"/>
  <c r="O8" i="33"/>
  <c r="P8" i="33"/>
  <c r="B8" i="33"/>
  <c r="B9" i="33" l="1"/>
  <c r="CP12" i="19"/>
  <c r="CQ12" i="19"/>
  <c r="CR12" i="19"/>
  <c r="CT12" i="19"/>
  <c r="CU12" i="19"/>
  <c r="CV12" i="19"/>
  <c r="CX12" i="19"/>
  <c r="CY12" i="19"/>
  <c r="CZ12" i="19"/>
  <c r="DB12" i="19"/>
  <c r="DC12" i="19"/>
  <c r="DD12" i="19"/>
  <c r="DF12" i="19"/>
  <c r="DG12" i="19"/>
  <c r="DH12" i="19"/>
  <c r="DJ12" i="19"/>
  <c r="CP13" i="19"/>
  <c r="CQ13" i="19"/>
  <c r="CR13" i="19"/>
  <c r="CT13" i="19"/>
  <c r="CU13" i="19"/>
  <c r="CV13" i="19"/>
  <c r="CX13" i="19"/>
  <c r="CY13" i="19"/>
  <c r="CZ13" i="19"/>
  <c r="DB13" i="19"/>
  <c r="DC13" i="19"/>
  <c r="DD13" i="19"/>
  <c r="DF13" i="19"/>
  <c r="DG13" i="19"/>
  <c r="DH13" i="19"/>
  <c r="DJ13" i="19"/>
  <c r="CP14" i="19"/>
  <c r="CQ14" i="19"/>
  <c r="CR14" i="19"/>
  <c r="CT14" i="19"/>
  <c r="CU14" i="19"/>
  <c r="CV14" i="19"/>
  <c r="CX14" i="19"/>
  <c r="CY14" i="19"/>
  <c r="CZ14" i="19"/>
  <c r="DB14" i="19"/>
  <c r="DC14" i="19"/>
  <c r="DD14" i="19"/>
  <c r="DF14" i="19"/>
  <c r="DG14" i="19"/>
  <c r="DH14" i="19"/>
  <c r="DJ14" i="19"/>
  <c r="CP15" i="19"/>
  <c r="CQ15" i="19"/>
  <c r="CR15" i="19"/>
  <c r="CT15" i="19"/>
  <c r="CU15" i="19"/>
  <c r="CV15" i="19"/>
  <c r="CX15" i="19"/>
  <c r="CY15" i="19"/>
  <c r="CZ15" i="19"/>
  <c r="DB15" i="19"/>
  <c r="DC15" i="19"/>
  <c r="DD15" i="19"/>
  <c r="DF15" i="19"/>
  <c r="DG15" i="19"/>
  <c r="DH15" i="19"/>
  <c r="DJ15" i="19"/>
  <c r="CP16" i="19"/>
  <c r="CQ16" i="19"/>
  <c r="CR16" i="19"/>
  <c r="CT16" i="19"/>
  <c r="CU16" i="19"/>
  <c r="CV16" i="19"/>
  <c r="CX16" i="19"/>
  <c r="CY16" i="19"/>
  <c r="CZ16" i="19"/>
  <c r="DB16" i="19"/>
  <c r="DC16" i="19"/>
  <c r="DD16" i="19"/>
  <c r="DF16" i="19"/>
  <c r="DG16" i="19"/>
  <c r="DH16" i="19"/>
  <c r="DJ16" i="19"/>
  <c r="CP17" i="19"/>
  <c r="CQ17" i="19"/>
  <c r="CR17" i="19"/>
  <c r="CT17" i="19"/>
  <c r="CU17" i="19"/>
  <c r="CV17" i="19"/>
  <c r="CX17" i="19"/>
  <c r="CY17" i="19"/>
  <c r="CZ17" i="19"/>
  <c r="DB17" i="19"/>
  <c r="DC17" i="19"/>
  <c r="DD17" i="19"/>
  <c r="DF17" i="19"/>
  <c r="DG17" i="19"/>
  <c r="DH17" i="19"/>
  <c r="DJ17" i="19"/>
  <c r="CP18" i="19"/>
  <c r="CQ18" i="19"/>
  <c r="CR18" i="19"/>
  <c r="CT18" i="19"/>
  <c r="CU18" i="19"/>
  <c r="CV18" i="19"/>
  <c r="CX18" i="19"/>
  <c r="CY18" i="19"/>
  <c r="CZ18" i="19"/>
  <c r="DB18" i="19"/>
  <c r="DC18" i="19"/>
  <c r="DD18" i="19"/>
  <c r="DF18" i="19"/>
  <c r="DG18" i="19"/>
  <c r="DH18" i="19"/>
  <c r="DJ18" i="19"/>
  <c r="CP19" i="19"/>
  <c r="CQ19" i="19"/>
  <c r="CR19" i="19"/>
  <c r="CT19" i="19"/>
  <c r="CU19" i="19"/>
  <c r="CV19" i="19"/>
  <c r="CX19" i="19"/>
  <c r="CY19" i="19"/>
  <c r="CZ19" i="19"/>
  <c r="DB19" i="19"/>
  <c r="DC19" i="19"/>
  <c r="DD19" i="19"/>
  <c r="DF19" i="19"/>
  <c r="DG19" i="19"/>
  <c r="DH19" i="19"/>
  <c r="DJ19" i="19"/>
  <c r="CP20" i="19"/>
  <c r="CQ20" i="19"/>
  <c r="CR20" i="19"/>
  <c r="CT20" i="19"/>
  <c r="CU20" i="19"/>
  <c r="CV20" i="19"/>
  <c r="CX20" i="19"/>
  <c r="CY20" i="19"/>
  <c r="CZ20" i="19"/>
  <c r="DB20" i="19"/>
  <c r="DC20" i="19"/>
  <c r="DD20" i="19"/>
  <c r="DF20" i="19"/>
  <c r="DG20" i="19"/>
  <c r="DH20" i="19"/>
  <c r="DJ20" i="19"/>
  <c r="CP21" i="19"/>
  <c r="CQ21" i="19"/>
  <c r="CR21" i="19"/>
  <c r="CT21" i="19"/>
  <c r="CU21" i="19"/>
  <c r="CV21" i="19"/>
  <c r="CX21" i="19"/>
  <c r="CY21" i="19"/>
  <c r="CZ21" i="19"/>
  <c r="DB21" i="19"/>
  <c r="DC21" i="19"/>
  <c r="DD21" i="19"/>
  <c r="DF21" i="19"/>
  <c r="DG21" i="19"/>
  <c r="DH21" i="19"/>
  <c r="DJ21" i="19"/>
  <c r="CP22" i="19"/>
  <c r="CQ22" i="19"/>
  <c r="CR22" i="19"/>
  <c r="CT22" i="19"/>
  <c r="CU22" i="19"/>
  <c r="CV22" i="19"/>
  <c r="CX22" i="19"/>
  <c r="CY22" i="19"/>
  <c r="CZ22" i="19"/>
  <c r="DB22" i="19"/>
  <c r="DC22" i="19"/>
  <c r="DD22" i="19"/>
  <c r="DF22" i="19"/>
  <c r="DG22" i="19"/>
  <c r="DH22" i="19"/>
  <c r="DJ22" i="19"/>
  <c r="CP23" i="19"/>
  <c r="CQ23" i="19"/>
  <c r="CR23" i="19"/>
  <c r="CT23" i="19"/>
  <c r="CU23" i="19"/>
  <c r="CV23" i="19"/>
  <c r="CX23" i="19"/>
  <c r="CY23" i="19"/>
  <c r="CZ23" i="19"/>
  <c r="DB23" i="19"/>
  <c r="DC23" i="19"/>
  <c r="DD23" i="19"/>
  <c r="DF23" i="19"/>
  <c r="DG23" i="19"/>
  <c r="DH23" i="19"/>
  <c r="DJ23" i="19"/>
  <c r="CP24" i="19"/>
  <c r="CQ24" i="19"/>
  <c r="CR24" i="19"/>
  <c r="CT24" i="19"/>
  <c r="CU24" i="19"/>
  <c r="CV24" i="19"/>
  <c r="CX24" i="19"/>
  <c r="CY24" i="19"/>
  <c r="CZ24" i="19"/>
  <c r="DB24" i="19"/>
  <c r="DC24" i="19"/>
  <c r="DD24" i="19"/>
  <c r="DF24" i="19"/>
  <c r="DG24" i="19"/>
  <c r="DH24" i="19"/>
  <c r="DJ24" i="19"/>
  <c r="CP25" i="19"/>
  <c r="CQ25" i="19"/>
  <c r="CR25" i="19"/>
  <c r="CT25" i="19"/>
  <c r="CU25" i="19"/>
  <c r="CV25" i="19"/>
  <c r="CX25" i="19"/>
  <c r="CY25" i="19"/>
  <c r="CZ25" i="19"/>
  <c r="DB25" i="19"/>
  <c r="DC25" i="19"/>
  <c r="DD25" i="19"/>
  <c r="DF25" i="19"/>
  <c r="DG25" i="19"/>
  <c r="DH25" i="19"/>
  <c r="DJ25" i="19"/>
  <c r="CP26" i="19"/>
  <c r="CQ26" i="19"/>
  <c r="CR26" i="19"/>
  <c r="CT26" i="19"/>
  <c r="CU26" i="19"/>
  <c r="CV26" i="19"/>
  <c r="CX26" i="19"/>
  <c r="CY26" i="19"/>
  <c r="CZ26" i="19"/>
  <c r="DB26" i="19"/>
  <c r="DC26" i="19"/>
  <c r="DD26" i="19"/>
  <c r="DF26" i="19"/>
  <c r="DG26" i="19"/>
  <c r="DH26" i="19"/>
  <c r="DJ26" i="19"/>
  <c r="CP27" i="19"/>
  <c r="CQ27" i="19"/>
  <c r="CR27" i="19"/>
  <c r="CT27" i="19"/>
  <c r="CU27" i="19"/>
  <c r="CV27" i="19"/>
  <c r="CX27" i="19"/>
  <c r="CY27" i="19"/>
  <c r="CZ27" i="19"/>
  <c r="DB27" i="19"/>
  <c r="DC27" i="19"/>
  <c r="DD27" i="19"/>
  <c r="DF27" i="19"/>
  <c r="DG27" i="19"/>
  <c r="DH27" i="19"/>
  <c r="DJ27" i="19"/>
  <c r="CP28" i="19"/>
  <c r="CQ28" i="19"/>
  <c r="CR28" i="19"/>
  <c r="CT28" i="19"/>
  <c r="CU28" i="19"/>
  <c r="CV28" i="19"/>
  <c r="CX28" i="19"/>
  <c r="CY28" i="19"/>
  <c r="CZ28" i="19"/>
  <c r="DB28" i="19"/>
  <c r="DC28" i="19"/>
  <c r="DD28" i="19"/>
  <c r="DF28" i="19"/>
  <c r="DG28" i="19"/>
  <c r="DH28" i="19"/>
  <c r="DJ28" i="19"/>
  <c r="CP29" i="19"/>
  <c r="CQ29" i="19"/>
  <c r="CR29" i="19"/>
  <c r="CT29" i="19"/>
  <c r="CU29" i="19"/>
  <c r="CV29" i="19"/>
  <c r="CX29" i="19"/>
  <c r="CY29" i="19"/>
  <c r="CZ29" i="19"/>
  <c r="DB29" i="19"/>
  <c r="DC29" i="19"/>
  <c r="DD29" i="19"/>
  <c r="DF29" i="19"/>
  <c r="DG29" i="19"/>
  <c r="DH29" i="19"/>
  <c r="DJ29" i="19"/>
  <c r="CP30" i="19"/>
  <c r="CQ30" i="19"/>
  <c r="CR30" i="19"/>
  <c r="CT30" i="19"/>
  <c r="CU30" i="19"/>
  <c r="CV30" i="19"/>
  <c r="CX30" i="19"/>
  <c r="CY30" i="19"/>
  <c r="CZ30" i="19"/>
  <c r="DB30" i="19"/>
  <c r="DC30" i="19"/>
  <c r="DD30" i="19"/>
  <c r="DF30" i="19"/>
  <c r="DG30" i="19"/>
  <c r="DH30" i="19"/>
  <c r="DJ30" i="19"/>
  <c r="CP31" i="19"/>
  <c r="CQ31" i="19"/>
  <c r="CR31" i="19"/>
  <c r="CT31" i="19"/>
  <c r="CU31" i="19"/>
  <c r="CV31" i="19"/>
  <c r="CX31" i="19"/>
  <c r="CY31" i="19"/>
  <c r="CZ31" i="19"/>
  <c r="DB31" i="19"/>
  <c r="DC31" i="19"/>
  <c r="DD31" i="19"/>
  <c r="DF31" i="19"/>
  <c r="DG31" i="19"/>
  <c r="DH31" i="19"/>
  <c r="DJ31" i="19"/>
  <c r="CP32" i="19"/>
  <c r="CQ32" i="19"/>
  <c r="CR32" i="19"/>
  <c r="CT32" i="19"/>
  <c r="CU32" i="19"/>
  <c r="CV32" i="19"/>
  <c r="CX32" i="19"/>
  <c r="CY32" i="19"/>
  <c r="CZ32" i="19"/>
  <c r="DB32" i="19"/>
  <c r="DC32" i="19"/>
  <c r="DD32" i="19"/>
  <c r="DF32" i="19"/>
  <c r="DG32" i="19"/>
  <c r="DH32" i="19"/>
  <c r="DJ32" i="19"/>
  <c r="CP33" i="19"/>
  <c r="CQ33" i="19"/>
  <c r="CR33" i="19"/>
  <c r="CT33" i="19"/>
  <c r="CU33" i="19"/>
  <c r="CV33" i="19"/>
  <c r="CX33" i="19"/>
  <c r="CY33" i="19"/>
  <c r="CZ33" i="19"/>
  <c r="DB33" i="19"/>
  <c r="DC33" i="19"/>
  <c r="DD33" i="19"/>
  <c r="DF33" i="19"/>
  <c r="DG33" i="19"/>
  <c r="DH33" i="19"/>
  <c r="DJ33" i="19"/>
  <c r="CP34" i="19"/>
  <c r="CQ34" i="19"/>
  <c r="CR34" i="19"/>
  <c r="CT34" i="19"/>
  <c r="CU34" i="19"/>
  <c r="CV34" i="19"/>
  <c r="CX34" i="19"/>
  <c r="CY34" i="19"/>
  <c r="CZ34" i="19"/>
  <c r="DB34" i="19"/>
  <c r="DC34" i="19"/>
  <c r="DD34" i="19"/>
  <c r="DF34" i="19"/>
  <c r="DG34" i="19"/>
  <c r="DH34" i="19"/>
  <c r="DJ34" i="19"/>
  <c r="CP35" i="19"/>
  <c r="CQ35" i="19"/>
  <c r="CR35" i="19"/>
  <c r="CT35" i="19"/>
  <c r="CU35" i="19"/>
  <c r="CV35" i="19"/>
  <c r="CX35" i="19"/>
  <c r="CY35" i="19"/>
  <c r="CZ35" i="19"/>
  <c r="DB35" i="19"/>
  <c r="DC35" i="19"/>
  <c r="DD35" i="19"/>
  <c r="DF35" i="19"/>
  <c r="DG35" i="19"/>
  <c r="DH35" i="19"/>
  <c r="DJ35" i="19"/>
  <c r="CP36" i="19"/>
  <c r="CQ36" i="19"/>
  <c r="CR36" i="19"/>
  <c r="CT36" i="19"/>
  <c r="CU36" i="19"/>
  <c r="CV36" i="19"/>
  <c r="CX36" i="19"/>
  <c r="CY36" i="19"/>
  <c r="CZ36" i="19"/>
  <c r="DB36" i="19"/>
  <c r="DC36" i="19"/>
  <c r="DD36" i="19"/>
  <c r="DF36" i="19"/>
  <c r="DG36" i="19"/>
  <c r="DH36" i="19"/>
  <c r="DJ36" i="19"/>
  <c r="CP37" i="19"/>
  <c r="CQ37" i="19"/>
  <c r="CR37" i="19"/>
  <c r="CT37" i="19"/>
  <c r="CU37" i="19"/>
  <c r="CV37" i="19"/>
  <c r="CX37" i="19"/>
  <c r="CY37" i="19"/>
  <c r="CZ37" i="19"/>
  <c r="DB37" i="19"/>
  <c r="DC37" i="19"/>
  <c r="DD37" i="19"/>
  <c r="DF37" i="19"/>
  <c r="DG37" i="19"/>
  <c r="DH37" i="19"/>
  <c r="DJ37" i="19"/>
  <c r="CP38" i="19"/>
  <c r="CQ38" i="19"/>
  <c r="CR38" i="19"/>
  <c r="CT38" i="19"/>
  <c r="CU38" i="19"/>
  <c r="CV38" i="19"/>
  <c r="CX38" i="19"/>
  <c r="CY38" i="19"/>
  <c r="CZ38" i="19"/>
  <c r="DB38" i="19"/>
  <c r="DC38" i="19"/>
  <c r="DD38" i="19"/>
  <c r="DF38" i="19"/>
  <c r="DG38" i="19"/>
  <c r="DH38" i="19"/>
  <c r="DJ38" i="19"/>
  <c r="CP39" i="19"/>
  <c r="CQ39" i="19"/>
  <c r="CR39" i="19"/>
  <c r="CT39" i="19"/>
  <c r="CU39" i="19"/>
  <c r="CV39" i="19"/>
  <c r="CX39" i="19"/>
  <c r="CY39" i="19"/>
  <c r="CZ39" i="19"/>
  <c r="DB39" i="19"/>
  <c r="DC39" i="19"/>
  <c r="DD39" i="19"/>
  <c r="DF39" i="19"/>
  <c r="DG39" i="19"/>
  <c r="DH39" i="19"/>
  <c r="DJ39" i="19"/>
  <c r="CP40" i="19"/>
  <c r="CQ40" i="19"/>
  <c r="CR40" i="19"/>
  <c r="CT40" i="19"/>
  <c r="CU40" i="19"/>
  <c r="CV40" i="19"/>
  <c r="CX40" i="19"/>
  <c r="CY40" i="19"/>
  <c r="CZ40" i="19"/>
  <c r="DB40" i="19"/>
  <c r="DC40" i="19"/>
  <c r="DD40" i="19"/>
  <c r="DF40" i="19"/>
  <c r="DG40" i="19"/>
  <c r="DH40" i="19"/>
  <c r="DJ40" i="19"/>
  <c r="CP41" i="19"/>
  <c r="CQ41" i="19"/>
  <c r="CR41" i="19"/>
  <c r="CT41" i="19"/>
  <c r="CU41" i="19"/>
  <c r="CV41" i="19"/>
  <c r="CX41" i="19"/>
  <c r="CY41" i="19"/>
  <c r="CZ41" i="19"/>
  <c r="DB41" i="19"/>
  <c r="DC41" i="19"/>
  <c r="DD41" i="19"/>
  <c r="DF41" i="19"/>
  <c r="DG41" i="19"/>
  <c r="DH41" i="19"/>
  <c r="DJ41" i="19"/>
  <c r="CP42" i="19"/>
  <c r="CQ42" i="19"/>
  <c r="CR42" i="19"/>
  <c r="CT42" i="19"/>
  <c r="CU42" i="19"/>
  <c r="CV42" i="19"/>
  <c r="CX42" i="19"/>
  <c r="CY42" i="19"/>
  <c r="CZ42" i="19"/>
  <c r="DB42" i="19"/>
  <c r="DC42" i="19"/>
  <c r="DD42" i="19"/>
  <c r="DF42" i="19"/>
  <c r="DG42" i="19"/>
  <c r="DH42" i="19"/>
  <c r="DJ42" i="19"/>
  <c r="CP43" i="19"/>
  <c r="CQ43" i="19"/>
  <c r="CR43" i="19"/>
  <c r="CT43" i="19"/>
  <c r="CU43" i="19"/>
  <c r="CV43" i="19"/>
  <c r="CX43" i="19"/>
  <c r="CY43" i="19"/>
  <c r="CZ43" i="19"/>
  <c r="DB43" i="19"/>
  <c r="DC43" i="19"/>
  <c r="DD43" i="19"/>
  <c r="DF43" i="19"/>
  <c r="DG43" i="19"/>
  <c r="DH43" i="19"/>
  <c r="DJ43" i="19"/>
  <c r="CP44" i="19"/>
  <c r="CQ44" i="19"/>
  <c r="CR44" i="19"/>
  <c r="CT44" i="19"/>
  <c r="CU44" i="19"/>
  <c r="CV44" i="19"/>
  <c r="CX44" i="19"/>
  <c r="CY44" i="19"/>
  <c r="CZ44" i="19"/>
  <c r="DB44" i="19"/>
  <c r="DC44" i="19"/>
  <c r="DD44" i="19"/>
  <c r="DF44" i="19"/>
  <c r="DG44" i="19"/>
  <c r="DH44" i="19"/>
  <c r="DJ44" i="19"/>
  <c r="CP45" i="19"/>
  <c r="CQ45" i="19"/>
  <c r="CR45" i="19"/>
  <c r="CT45" i="19"/>
  <c r="CU45" i="19"/>
  <c r="CV45" i="19"/>
  <c r="CX45" i="19"/>
  <c r="CY45" i="19"/>
  <c r="CZ45" i="19"/>
  <c r="DB45" i="19"/>
  <c r="DC45" i="19"/>
  <c r="DD45" i="19"/>
  <c r="DF45" i="19"/>
  <c r="DG45" i="19"/>
  <c r="DH45" i="19"/>
  <c r="DJ45" i="19"/>
  <c r="CP46" i="19"/>
  <c r="CQ46" i="19"/>
  <c r="CR46" i="19"/>
  <c r="CT46" i="19"/>
  <c r="CU46" i="19"/>
  <c r="CV46" i="19"/>
  <c r="CX46" i="19"/>
  <c r="CY46" i="19"/>
  <c r="CZ46" i="19"/>
  <c r="DB46" i="19"/>
  <c r="DC46" i="19"/>
  <c r="DD46" i="19"/>
  <c r="DF46" i="19"/>
  <c r="DG46" i="19"/>
  <c r="DH46" i="19"/>
  <c r="DJ46" i="19"/>
  <c r="CP47" i="19"/>
  <c r="CQ47" i="19"/>
  <c r="CR47" i="19"/>
  <c r="CT47" i="19"/>
  <c r="CU47" i="19"/>
  <c r="CV47" i="19"/>
  <c r="CX47" i="19"/>
  <c r="CY47" i="19"/>
  <c r="CZ47" i="19"/>
  <c r="DB47" i="19"/>
  <c r="DC47" i="19"/>
  <c r="DD47" i="19"/>
  <c r="DF47" i="19"/>
  <c r="DG47" i="19"/>
  <c r="DH47" i="19"/>
  <c r="DJ47" i="19"/>
  <c r="CP48" i="19"/>
  <c r="CQ48" i="19"/>
  <c r="CR48" i="19"/>
  <c r="CT48" i="19"/>
  <c r="CU48" i="19"/>
  <c r="CV48" i="19"/>
  <c r="CX48" i="19"/>
  <c r="CY48" i="19"/>
  <c r="CZ48" i="19"/>
  <c r="DB48" i="19"/>
  <c r="DC48" i="19"/>
  <c r="DD48" i="19"/>
  <c r="DF48" i="19"/>
  <c r="DG48" i="19"/>
  <c r="DH48" i="19"/>
  <c r="DJ48" i="19"/>
  <c r="CP49" i="19"/>
  <c r="CQ49" i="19"/>
  <c r="CR49" i="19"/>
  <c r="CT49" i="19"/>
  <c r="CU49" i="19"/>
  <c r="CV49" i="19"/>
  <c r="CX49" i="19"/>
  <c r="CY49" i="19"/>
  <c r="CZ49" i="19"/>
  <c r="DB49" i="19"/>
  <c r="DC49" i="19"/>
  <c r="DD49" i="19"/>
  <c r="DF49" i="19"/>
  <c r="DG49" i="19"/>
  <c r="DH49" i="19"/>
  <c r="DJ49" i="19"/>
  <c r="CP50" i="19"/>
  <c r="CQ50" i="19"/>
  <c r="CR50" i="19"/>
  <c r="CT50" i="19"/>
  <c r="CU50" i="19"/>
  <c r="CV50" i="19"/>
  <c r="CX50" i="19"/>
  <c r="CY50" i="19"/>
  <c r="CZ50" i="19"/>
  <c r="DB50" i="19"/>
  <c r="DC50" i="19"/>
  <c r="DD50" i="19"/>
  <c r="DF50" i="19"/>
  <c r="DG50" i="19"/>
  <c r="DH50" i="19"/>
  <c r="DJ50" i="19"/>
  <c r="CP51" i="19"/>
  <c r="CQ51" i="19"/>
  <c r="CR51" i="19"/>
  <c r="CT51" i="19"/>
  <c r="CU51" i="19"/>
  <c r="CV51" i="19"/>
  <c r="CX51" i="19"/>
  <c r="CY51" i="19"/>
  <c r="CZ51" i="19"/>
  <c r="DB51" i="19"/>
  <c r="DC51" i="19"/>
  <c r="DD51" i="19"/>
  <c r="DF51" i="19"/>
  <c r="DG51" i="19"/>
  <c r="DH51" i="19"/>
  <c r="DJ51" i="19"/>
  <c r="CP52" i="19"/>
  <c r="CQ52" i="19"/>
  <c r="CR52" i="19"/>
  <c r="CT52" i="19"/>
  <c r="CU52" i="19"/>
  <c r="CV52" i="19"/>
  <c r="CX52" i="19"/>
  <c r="CY52" i="19"/>
  <c r="CZ52" i="19"/>
  <c r="DB52" i="19"/>
  <c r="DC52" i="19"/>
  <c r="DD52" i="19"/>
  <c r="DF52" i="19"/>
  <c r="DG52" i="19"/>
  <c r="DH52" i="19"/>
  <c r="DJ52" i="19"/>
  <c r="CP53" i="19"/>
  <c r="CQ53" i="19"/>
  <c r="CR53" i="19"/>
  <c r="CT53" i="19"/>
  <c r="CU53" i="19"/>
  <c r="CV53" i="19"/>
  <c r="CX53" i="19"/>
  <c r="CY53" i="19"/>
  <c r="CZ53" i="19"/>
  <c r="DB53" i="19"/>
  <c r="DC53" i="19"/>
  <c r="DD53" i="19"/>
  <c r="DF53" i="19"/>
  <c r="DG53" i="19"/>
  <c r="DH53" i="19"/>
  <c r="DJ53" i="19"/>
  <c r="CP54" i="19"/>
  <c r="CQ54" i="19"/>
  <c r="CR54" i="19"/>
  <c r="CT54" i="19"/>
  <c r="CU54" i="19"/>
  <c r="CV54" i="19"/>
  <c r="CX54" i="19"/>
  <c r="CY54" i="19"/>
  <c r="CZ54" i="19"/>
  <c r="DB54" i="19"/>
  <c r="DC54" i="19"/>
  <c r="DD54" i="19"/>
  <c r="DF54" i="19"/>
  <c r="DG54" i="19"/>
  <c r="DH54" i="19"/>
  <c r="DJ54" i="19"/>
  <c r="CP55" i="19"/>
  <c r="CQ55" i="19"/>
  <c r="CR55" i="19"/>
  <c r="CT55" i="19"/>
  <c r="CU55" i="19"/>
  <c r="CV55" i="19"/>
  <c r="CX55" i="19"/>
  <c r="CY55" i="19"/>
  <c r="CZ55" i="19"/>
  <c r="DB55" i="19"/>
  <c r="DC55" i="19"/>
  <c r="DD55" i="19"/>
  <c r="DF55" i="19"/>
  <c r="DG55" i="19"/>
  <c r="DH55" i="19"/>
  <c r="DJ55" i="19"/>
  <c r="CP56" i="19"/>
  <c r="CQ56" i="19"/>
  <c r="CR56" i="19"/>
  <c r="CT56" i="19"/>
  <c r="CU56" i="19"/>
  <c r="CV56" i="19"/>
  <c r="CX56" i="19"/>
  <c r="CY56" i="19"/>
  <c r="CZ56" i="19"/>
  <c r="DB56" i="19"/>
  <c r="DC56" i="19"/>
  <c r="DD56" i="19"/>
  <c r="DF56" i="19"/>
  <c r="DG56" i="19"/>
  <c r="DH56" i="19"/>
  <c r="DJ56" i="19"/>
  <c r="CP57" i="19"/>
  <c r="CQ57" i="19"/>
  <c r="CR57" i="19"/>
  <c r="CT57" i="19"/>
  <c r="CU57" i="19"/>
  <c r="CV57" i="19"/>
  <c r="CX57" i="19"/>
  <c r="CY57" i="19"/>
  <c r="CZ57" i="19"/>
  <c r="DB57" i="19"/>
  <c r="DC57" i="19"/>
  <c r="DD57" i="19"/>
  <c r="DF57" i="19"/>
  <c r="DG57" i="19"/>
  <c r="DH57" i="19"/>
  <c r="DJ57" i="19"/>
  <c r="CP58" i="19"/>
  <c r="CQ58" i="19"/>
  <c r="CR58" i="19"/>
  <c r="CT58" i="19"/>
  <c r="CU58" i="19"/>
  <c r="CV58" i="19"/>
  <c r="CX58" i="19"/>
  <c r="CY58" i="19"/>
  <c r="CZ58" i="19"/>
  <c r="DB58" i="19"/>
  <c r="DC58" i="19"/>
  <c r="DD58" i="19"/>
  <c r="DF58" i="19"/>
  <c r="DG58" i="19"/>
  <c r="DH58" i="19"/>
  <c r="DJ58" i="19"/>
  <c r="CP59" i="19"/>
  <c r="CQ59" i="19"/>
  <c r="CR59" i="19"/>
  <c r="CT59" i="19"/>
  <c r="CU59" i="19"/>
  <c r="CV59" i="19"/>
  <c r="CX59" i="19"/>
  <c r="CY59" i="19"/>
  <c r="CZ59" i="19"/>
  <c r="DB59" i="19"/>
  <c r="DC59" i="19"/>
  <c r="DD59" i="19"/>
  <c r="DF59" i="19"/>
  <c r="DG59" i="19"/>
  <c r="DH59" i="19"/>
  <c r="DJ59" i="19"/>
  <c r="CP60" i="19"/>
  <c r="CQ60" i="19"/>
  <c r="CR60" i="19"/>
  <c r="CT60" i="19"/>
  <c r="CU60" i="19"/>
  <c r="CV60" i="19"/>
  <c r="CX60" i="19"/>
  <c r="CY60" i="19"/>
  <c r="CZ60" i="19"/>
  <c r="DB60" i="19"/>
  <c r="DC60" i="19"/>
  <c r="DD60" i="19"/>
  <c r="DF60" i="19"/>
  <c r="DG60" i="19"/>
  <c r="DH60" i="19"/>
  <c r="DJ60" i="19"/>
  <c r="CP61" i="19"/>
  <c r="CQ61" i="19"/>
  <c r="CR61" i="19"/>
  <c r="CT61" i="19"/>
  <c r="CU61" i="19"/>
  <c r="CV61" i="19"/>
  <c r="CX61" i="19"/>
  <c r="CY61" i="19"/>
  <c r="CZ61" i="19"/>
  <c r="DB61" i="19"/>
  <c r="DC61" i="19"/>
  <c r="DD61" i="19"/>
  <c r="DF61" i="19"/>
  <c r="DG61" i="19"/>
  <c r="DH61" i="19"/>
  <c r="DJ61" i="19"/>
  <c r="CP62" i="19"/>
  <c r="CQ62" i="19"/>
  <c r="CR62" i="19"/>
  <c r="CT62" i="19"/>
  <c r="CU62" i="19"/>
  <c r="CV62" i="19"/>
  <c r="CX62" i="19"/>
  <c r="CY62" i="19"/>
  <c r="CZ62" i="19"/>
  <c r="DB62" i="19"/>
  <c r="DC62" i="19"/>
  <c r="DD62" i="19"/>
  <c r="DF62" i="19"/>
  <c r="DG62" i="19"/>
  <c r="DH62" i="19"/>
  <c r="DJ62" i="19"/>
  <c r="CP63" i="19"/>
  <c r="CQ63" i="19"/>
  <c r="CR63" i="19"/>
  <c r="CT63" i="19"/>
  <c r="CU63" i="19"/>
  <c r="CV63" i="19"/>
  <c r="CX63" i="19"/>
  <c r="CY63" i="19"/>
  <c r="CZ63" i="19"/>
  <c r="DB63" i="19"/>
  <c r="DC63" i="19"/>
  <c r="DD63" i="19"/>
  <c r="DF63" i="19"/>
  <c r="DG63" i="19"/>
  <c r="DH63" i="19"/>
  <c r="DJ63" i="19"/>
  <c r="CP64" i="19"/>
  <c r="CQ64" i="19"/>
  <c r="CR64" i="19"/>
  <c r="CT64" i="19"/>
  <c r="CU64" i="19"/>
  <c r="CV64" i="19"/>
  <c r="CX64" i="19"/>
  <c r="CY64" i="19"/>
  <c r="CZ64" i="19"/>
  <c r="DB64" i="19"/>
  <c r="DC64" i="19"/>
  <c r="DD64" i="19"/>
  <c r="DF64" i="19"/>
  <c r="DG64" i="19"/>
  <c r="DH64" i="19"/>
  <c r="DJ64" i="19"/>
  <c r="CP65" i="19"/>
  <c r="CQ65" i="19"/>
  <c r="CR65" i="19"/>
  <c r="CT65" i="19"/>
  <c r="CU65" i="19"/>
  <c r="CV65" i="19"/>
  <c r="CX65" i="19"/>
  <c r="CY65" i="19"/>
  <c r="CZ65" i="19"/>
  <c r="DB65" i="19"/>
  <c r="DC65" i="19"/>
  <c r="DD65" i="19"/>
  <c r="DF65" i="19"/>
  <c r="DG65" i="19"/>
  <c r="DH65" i="19"/>
  <c r="DJ65" i="19"/>
  <c r="CP66" i="19"/>
  <c r="CQ66" i="19"/>
  <c r="CR66" i="19"/>
  <c r="CT66" i="19"/>
  <c r="CU66" i="19"/>
  <c r="CV66" i="19"/>
  <c r="CX66" i="19"/>
  <c r="CY66" i="19"/>
  <c r="CZ66" i="19"/>
  <c r="DB66" i="19"/>
  <c r="DC66" i="19"/>
  <c r="DD66" i="19"/>
  <c r="DF66" i="19"/>
  <c r="DG66" i="19"/>
  <c r="DH66" i="19"/>
  <c r="DJ66" i="19"/>
  <c r="CP67" i="19"/>
  <c r="CQ67" i="19"/>
  <c r="CR67" i="19"/>
  <c r="CT67" i="19"/>
  <c r="CU67" i="19"/>
  <c r="CV67" i="19"/>
  <c r="CX67" i="19"/>
  <c r="CY67" i="19"/>
  <c r="CZ67" i="19"/>
  <c r="DB67" i="19"/>
  <c r="DC67" i="19"/>
  <c r="DD67" i="19"/>
  <c r="DF67" i="19"/>
  <c r="DG67" i="19"/>
  <c r="DH67" i="19"/>
  <c r="DJ67" i="19"/>
  <c r="CP68" i="19"/>
  <c r="CQ68" i="19"/>
  <c r="CR68" i="19"/>
  <c r="CT68" i="19"/>
  <c r="CU68" i="19"/>
  <c r="CV68" i="19"/>
  <c r="CX68" i="19"/>
  <c r="CY68" i="19"/>
  <c r="CZ68" i="19"/>
  <c r="DB68" i="19"/>
  <c r="DC68" i="19"/>
  <c r="DD68" i="19"/>
  <c r="DF68" i="19"/>
  <c r="DG68" i="19"/>
  <c r="DH68" i="19"/>
  <c r="DJ68" i="19"/>
  <c r="CP69" i="19"/>
  <c r="CQ69" i="19"/>
  <c r="CR69" i="19"/>
  <c r="CT69" i="19"/>
  <c r="CU69" i="19"/>
  <c r="CV69" i="19"/>
  <c r="CX69" i="19"/>
  <c r="CY69" i="19"/>
  <c r="CZ69" i="19"/>
  <c r="DB69" i="19"/>
  <c r="DC69" i="19"/>
  <c r="DD69" i="19"/>
  <c r="DF69" i="19"/>
  <c r="DG69" i="19"/>
  <c r="DH69" i="19"/>
  <c r="DJ69" i="19"/>
  <c r="CP70" i="19"/>
  <c r="CQ70" i="19"/>
  <c r="CR70" i="19"/>
  <c r="CT70" i="19"/>
  <c r="CU70" i="19"/>
  <c r="CV70" i="19"/>
  <c r="CX70" i="19"/>
  <c r="CY70" i="19"/>
  <c r="CZ70" i="19"/>
  <c r="DB70" i="19"/>
  <c r="DC70" i="19"/>
  <c r="DD70" i="19"/>
  <c r="DF70" i="19"/>
  <c r="DG70" i="19"/>
  <c r="DH70" i="19"/>
  <c r="DJ70" i="19"/>
  <c r="CP71" i="19"/>
  <c r="CQ71" i="19"/>
  <c r="CR71" i="19"/>
  <c r="CT71" i="19"/>
  <c r="CU71" i="19"/>
  <c r="CV71" i="19"/>
  <c r="CX71" i="19"/>
  <c r="CY71" i="19"/>
  <c r="CZ71" i="19"/>
  <c r="DB71" i="19"/>
  <c r="DC71" i="19"/>
  <c r="DD71" i="19"/>
  <c r="DF71" i="19"/>
  <c r="DG71" i="19"/>
  <c r="DH71" i="19"/>
  <c r="DJ71" i="19"/>
  <c r="CP72" i="19"/>
  <c r="CQ72" i="19"/>
  <c r="CR72" i="19"/>
  <c r="CT72" i="19"/>
  <c r="CU72" i="19"/>
  <c r="CV72" i="19"/>
  <c r="CX72" i="19"/>
  <c r="CY72" i="19"/>
  <c r="CZ72" i="19"/>
  <c r="DB72" i="19"/>
  <c r="DC72" i="19"/>
  <c r="DD72" i="19"/>
  <c r="DF72" i="19"/>
  <c r="DG72" i="19"/>
  <c r="DH72" i="19"/>
  <c r="DJ72" i="19"/>
  <c r="CP73" i="19"/>
  <c r="CQ73" i="19"/>
  <c r="CR73" i="19"/>
  <c r="CT73" i="19"/>
  <c r="CU73" i="19"/>
  <c r="CV73" i="19"/>
  <c r="CX73" i="19"/>
  <c r="CY73" i="19"/>
  <c r="CZ73" i="19"/>
  <c r="DB73" i="19"/>
  <c r="DC73" i="19"/>
  <c r="DD73" i="19"/>
  <c r="DF73" i="19"/>
  <c r="DG73" i="19"/>
  <c r="DH73" i="19"/>
  <c r="DJ73" i="19"/>
  <c r="CP74" i="19"/>
  <c r="CQ74" i="19"/>
  <c r="CR74" i="19"/>
  <c r="CT74" i="19"/>
  <c r="CU74" i="19"/>
  <c r="CV74" i="19"/>
  <c r="CX74" i="19"/>
  <c r="CY74" i="19"/>
  <c r="CZ74" i="19"/>
  <c r="DB74" i="19"/>
  <c r="DC74" i="19"/>
  <c r="DD74" i="19"/>
  <c r="DF74" i="19"/>
  <c r="DG74" i="19"/>
  <c r="DH74" i="19"/>
  <c r="DJ74" i="19"/>
  <c r="CP75" i="19"/>
  <c r="CQ75" i="19"/>
  <c r="CR75" i="19"/>
  <c r="CT75" i="19"/>
  <c r="CU75" i="19"/>
  <c r="CV75" i="19"/>
  <c r="CX75" i="19"/>
  <c r="CY75" i="19"/>
  <c r="CZ75" i="19"/>
  <c r="DB75" i="19"/>
  <c r="DC75" i="19"/>
  <c r="DD75" i="19"/>
  <c r="DF75" i="19"/>
  <c r="DG75" i="19"/>
  <c r="DH75" i="19"/>
  <c r="DJ75" i="19"/>
  <c r="CP76" i="19"/>
  <c r="CQ76" i="19"/>
  <c r="CR76" i="19"/>
  <c r="CT76" i="19"/>
  <c r="CU76" i="19"/>
  <c r="CV76" i="19"/>
  <c r="CX76" i="19"/>
  <c r="CY76" i="19"/>
  <c r="CZ76" i="19"/>
  <c r="DB76" i="19"/>
  <c r="DC76" i="19"/>
  <c r="DD76" i="19"/>
  <c r="DF76" i="19"/>
  <c r="DG76" i="19"/>
  <c r="DH76" i="19"/>
  <c r="DJ76" i="19"/>
  <c r="CP77" i="19"/>
  <c r="CQ77" i="19"/>
  <c r="CR77" i="19"/>
  <c r="CT77" i="19"/>
  <c r="CU77" i="19"/>
  <c r="CV77" i="19"/>
  <c r="CX77" i="19"/>
  <c r="CY77" i="19"/>
  <c r="CZ77" i="19"/>
  <c r="DB77" i="19"/>
  <c r="DC77" i="19"/>
  <c r="DD77" i="19"/>
  <c r="DF77" i="19"/>
  <c r="DG77" i="19"/>
  <c r="DH77" i="19"/>
  <c r="DJ77" i="19"/>
  <c r="CP78" i="19"/>
  <c r="CQ78" i="19"/>
  <c r="CR78" i="19"/>
  <c r="CT78" i="19"/>
  <c r="CU78" i="19"/>
  <c r="CV78" i="19"/>
  <c r="CX78" i="19"/>
  <c r="CY78" i="19"/>
  <c r="CZ78" i="19"/>
  <c r="DB78" i="19"/>
  <c r="DC78" i="19"/>
  <c r="DD78" i="19"/>
  <c r="DF78" i="19"/>
  <c r="DG78" i="19"/>
  <c r="DH78" i="19"/>
  <c r="DJ78" i="19"/>
  <c r="CP79" i="19"/>
  <c r="CQ79" i="19"/>
  <c r="CR79" i="19"/>
  <c r="CT79" i="19"/>
  <c r="CU79" i="19"/>
  <c r="CV79" i="19"/>
  <c r="CX79" i="19"/>
  <c r="CY79" i="19"/>
  <c r="CZ79" i="19"/>
  <c r="DB79" i="19"/>
  <c r="DC79" i="19"/>
  <c r="DD79" i="19"/>
  <c r="DF79" i="19"/>
  <c r="DG79" i="19"/>
  <c r="DH79" i="19"/>
  <c r="DJ79" i="19"/>
  <c r="CP80" i="19"/>
  <c r="CQ80" i="19"/>
  <c r="CR80" i="19"/>
  <c r="CT80" i="19"/>
  <c r="CU80" i="19"/>
  <c r="CV80" i="19"/>
  <c r="CX80" i="19"/>
  <c r="CY80" i="19"/>
  <c r="CZ80" i="19"/>
  <c r="DB80" i="19"/>
  <c r="DC80" i="19"/>
  <c r="DD80" i="19"/>
  <c r="DF80" i="19"/>
  <c r="DG80" i="19"/>
  <c r="DH80" i="19"/>
  <c r="DJ80" i="19"/>
  <c r="CM12" i="19"/>
  <c r="CM13" i="19"/>
  <c r="CM14" i="19"/>
  <c r="CM15" i="19"/>
  <c r="CM16" i="19"/>
  <c r="CM17" i="19"/>
  <c r="CM18" i="19"/>
  <c r="CM19" i="19"/>
  <c r="CM20" i="19"/>
  <c r="CM21" i="19"/>
  <c r="CM22" i="19"/>
  <c r="CM23" i="19"/>
  <c r="CM24" i="19"/>
  <c r="CM25" i="19"/>
  <c r="CM26" i="19"/>
  <c r="CM27" i="19"/>
  <c r="CM28" i="19"/>
  <c r="CM29" i="19"/>
  <c r="CM30" i="19"/>
  <c r="CM31" i="19"/>
  <c r="CM32" i="19"/>
  <c r="CM33" i="19"/>
  <c r="CM34" i="19"/>
  <c r="CM35" i="19"/>
  <c r="CM36" i="19"/>
  <c r="CM37" i="19"/>
  <c r="CM38" i="19"/>
  <c r="CM39" i="19"/>
  <c r="CM40" i="19"/>
  <c r="CM41" i="19"/>
  <c r="CM42" i="19"/>
  <c r="CM43" i="19"/>
  <c r="CM44" i="19"/>
  <c r="CM45" i="19"/>
  <c r="CM46" i="19"/>
  <c r="CM47" i="19"/>
  <c r="CM48" i="19"/>
  <c r="CM49" i="19"/>
  <c r="CM50" i="19"/>
  <c r="CM51" i="19"/>
  <c r="CM52" i="19"/>
  <c r="CM53" i="19"/>
  <c r="CM54" i="19"/>
  <c r="CM55" i="19"/>
  <c r="CM56" i="19"/>
  <c r="CM57" i="19"/>
  <c r="CM58" i="19"/>
  <c r="CM59" i="19"/>
  <c r="CM60" i="19"/>
  <c r="CM61" i="19"/>
  <c r="CM62" i="19"/>
  <c r="CM63" i="19"/>
  <c r="CM64" i="19"/>
  <c r="CM65" i="19"/>
  <c r="CM66" i="19"/>
  <c r="CM67" i="19"/>
  <c r="CM68" i="19"/>
  <c r="CM69" i="19"/>
  <c r="CM70" i="19"/>
  <c r="CM71" i="19"/>
  <c r="CM72" i="19"/>
  <c r="CM73" i="19"/>
  <c r="CM74" i="19"/>
  <c r="CM75" i="19"/>
  <c r="CM76" i="19"/>
  <c r="CM77" i="19"/>
  <c r="CM78" i="19"/>
  <c r="CM79" i="19"/>
  <c r="CM80" i="19"/>
  <c r="CL12" i="19"/>
  <c r="CL13" i="19"/>
  <c r="CL14" i="19"/>
  <c r="CL15" i="19"/>
  <c r="CL16" i="19"/>
  <c r="CL17" i="19"/>
  <c r="CL18" i="19"/>
  <c r="CL19" i="19"/>
  <c r="CL20" i="19"/>
  <c r="CL21" i="19"/>
  <c r="CL22" i="19"/>
  <c r="CL23" i="19"/>
  <c r="CL24" i="19"/>
  <c r="CL25" i="19"/>
  <c r="CL26" i="19"/>
  <c r="CL27" i="19"/>
  <c r="CL28" i="19"/>
  <c r="CL29" i="19"/>
  <c r="CL30" i="19"/>
  <c r="CL31" i="19"/>
  <c r="CL32" i="19"/>
  <c r="CL33" i="19"/>
  <c r="CL34" i="19"/>
  <c r="CL35" i="19"/>
  <c r="CL36" i="19"/>
  <c r="CL37" i="19"/>
  <c r="CL38" i="19"/>
  <c r="CL39" i="19"/>
  <c r="CL40" i="19"/>
  <c r="CL41" i="19"/>
  <c r="CL42" i="19"/>
  <c r="CL43" i="19"/>
  <c r="CL44" i="19"/>
  <c r="CL45" i="19"/>
  <c r="CL46" i="19"/>
  <c r="CL47" i="19"/>
  <c r="CL48" i="19"/>
  <c r="CL49" i="19"/>
  <c r="CL50" i="19"/>
  <c r="CL51" i="19"/>
  <c r="CL52" i="19"/>
  <c r="CL53" i="19"/>
  <c r="CL54" i="19"/>
  <c r="CL55" i="19"/>
  <c r="CL56" i="19"/>
  <c r="CL57" i="19"/>
  <c r="CL58" i="19"/>
  <c r="CL59" i="19"/>
  <c r="CL60" i="19"/>
  <c r="CL61" i="19"/>
  <c r="CL62" i="19"/>
  <c r="CL63" i="19"/>
  <c r="CL64" i="19"/>
  <c r="CL65" i="19"/>
  <c r="CL66" i="19"/>
  <c r="CL67" i="19"/>
  <c r="CL68" i="19"/>
  <c r="CL69" i="19"/>
  <c r="CL70" i="19"/>
  <c r="CL71" i="19"/>
  <c r="CL72" i="19"/>
  <c r="CL73" i="19"/>
  <c r="CL74" i="19"/>
  <c r="CL75" i="19"/>
  <c r="CL76" i="19"/>
  <c r="CL77" i="19"/>
  <c r="CL78" i="19"/>
  <c r="CL79" i="19"/>
  <c r="CL80" i="19"/>
  <c r="D7" i="28"/>
  <c r="E7" i="28"/>
  <c r="D13" i="28"/>
  <c r="E13" i="28"/>
  <c r="D15" i="28"/>
  <c r="E15" i="28"/>
  <c r="D34" i="28"/>
  <c r="E34" i="28"/>
  <c r="D52" i="28"/>
  <c r="E52" i="28"/>
  <c r="D12" i="28"/>
  <c r="E12" i="28"/>
  <c r="D43" i="28"/>
  <c r="E43" i="28"/>
  <c r="D73" i="28"/>
  <c r="E73" i="28"/>
  <c r="D10" i="28"/>
  <c r="E10" i="28"/>
  <c r="D35" i="28"/>
  <c r="E35" i="28"/>
  <c r="D9" i="28"/>
  <c r="E9" i="28"/>
  <c r="D11" i="28"/>
  <c r="E11" i="28"/>
  <c r="D29" i="28"/>
  <c r="E29" i="28"/>
  <c r="D25" i="28"/>
  <c r="E25" i="28"/>
  <c r="D54" i="28"/>
  <c r="E54" i="28"/>
  <c r="D72" i="28"/>
  <c r="E72" i="28"/>
  <c r="D21" i="28"/>
  <c r="E21" i="28"/>
  <c r="D53" i="28"/>
  <c r="E53" i="28"/>
  <c r="D46" i="28"/>
  <c r="E46" i="28"/>
  <c r="D18" i="28"/>
  <c r="E18" i="28"/>
  <c r="D26" i="28"/>
  <c r="E26" i="28"/>
  <c r="D40" i="28"/>
  <c r="E40" i="28"/>
  <c r="D17" i="28"/>
  <c r="E17" i="28"/>
  <c r="D22" i="28"/>
  <c r="E22" i="28"/>
  <c r="D14" i="28"/>
  <c r="E14" i="28"/>
  <c r="D56" i="28"/>
  <c r="E56" i="28"/>
  <c r="D31" i="28"/>
  <c r="E31" i="28"/>
  <c r="D24" i="28"/>
  <c r="E24" i="28"/>
  <c r="D74" i="28"/>
  <c r="E74" i="28"/>
  <c r="D50" i="28"/>
  <c r="E50" i="28"/>
  <c r="D55" i="28"/>
  <c r="E55" i="28"/>
  <c r="D20" i="28"/>
  <c r="E20" i="28"/>
  <c r="D19" i="28"/>
  <c r="E19" i="28"/>
  <c r="D23" i="28"/>
  <c r="E23" i="28"/>
  <c r="D75" i="28"/>
  <c r="E75" i="28"/>
  <c r="D51" i="28"/>
  <c r="E51" i="28"/>
  <c r="D38" i="28"/>
  <c r="E38" i="28"/>
  <c r="D27" i="28"/>
  <c r="E27" i="28"/>
  <c r="D42" i="28"/>
  <c r="E42" i="28"/>
  <c r="D71" i="28"/>
  <c r="E71" i="28"/>
  <c r="D44" i="28"/>
  <c r="E44" i="28"/>
  <c r="D76" i="28"/>
  <c r="E76" i="28"/>
  <c r="D16" i="28"/>
  <c r="E16" i="28"/>
  <c r="D68" i="28"/>
  <c r="E68" i="28"/>
  <c r="D47" i="28"/>
  <c r="E47" i="28"/>
  <c r="D36" i="28"/>
  <c r="E36" i="28"/>
  <c r="D41" i="28"/>
  <c r="E41" i="28"/>
  <c r="D45" i="28"/>
  <c r="E45" i="28"/>
  <c r="D65" i="28"/>
  <c r="E65" i="28"/>
  <c r="D33" i="28"/>
  <c r="E33" i="28"/>
  <c r="D64" i="28"/>
  <c r="E64" i="28"/>
  <c r="D67" i="28"/>
  <c r="E67" i="28"/>
  <c r="D28" i="28"/>
  <c r="E28" i="28"/>
  <c r="D30" i="28"/>
  <c r="E30" i="28"/>
  <c r="D37" i="28"/>
  <c r="E37" i="28"/>
  <c r="D32" i="28"/>
  <c r="E32" i="28"/>
  <c r="D69" i="28"/>
  <c r="E69" i="28"/>
  <c r="D39" i="28"/>
  <c r="E39" i="28"/>
  <c r="D61" i="28"/>
  <c r="E61" i="28"/>
  <c r="D59" i="28"/>
  <c r="E59" i="28"/>
  <c r="D48" i="28"/>
  <c r="E48" i="28"/>
  <c r="D66" i="28"/>
  <c r="E66" i="28"/>
  <c r="D57" i="28"/>
  <c r="E57" i="28"/>
  <c r="D60" i="28"/>
  <c r="E60" i="28"/>
  <c r="D70" i="28"/>
  <c r="E70" i="28"/>
  <c r="D63" i="28"/>
  <c r="E63" i="28"/>
  <c r="D58" i="28"/>
  <c r="E58" i="28"/>
  <c r="D49" i="28"/>
  <c r="E49" i="28"/>
  <c r="D62" i="28"/>
  <c r="E62" i="28"/>
  <c r="F7" i="28"/>
  <c r="G7" i="28"/>
  <c r="H7" i="28"/>
  <c r="I7" i="28"/>
  <c r="J7" i="28"/>
  <c r="K7" i="28"/>
  <c r="L7" i="28"/>
  <c r="F13" i="28"/>
  <c r="G13" i="28"/>
  <c r="H13" i="28"/>
  <c r="I13" i="28"/>
  <c r="J13" i="28"/>
  <c r="K13" i="28"/>
  <c r="L13" i="28"/>
  <c r="F15" i="28"/>
  <c r="G15" i="28"/>
  <c r="H15" i="28"/>
  <c r="I15" i="28"/>
  <c r="J15" i="28"/>
  <c r="K15" i="28"/>
  <c r="L15" i="28"/>
  <c r="F34" i="28"/>
  <c r="G34" i="28"/>
  <c r="H34" i="28"/>
  <c r="I34" i="28"/>
  <c r="J34" i="28"/>
  <c r="K34" i="28"/>
  <c r="L34" i="28"/>
  <c r="F52" i="28"/>
  <c r="G52" i="28"/>
  <c r="H52" i="28"/>
  <c r="I52" i="28"/>
  <c r="J52" i="28"/>
  <c r="K52" i="28"/>
  <c r="L52" i="28"/>
  <c r="F12" i="28"/>
  <c r="G12" i="28"/>
  <c r="H12" i="28"/>
  <c r="I12" i="28"/>
  <c r="J12" i="28"/>
  <c r="K12" i="28"/>
  <c r="L12" i="28"/>
  <c r="F43" i="28"/>
  <c r="G43" i="28"/>
  <c r="H43" i="28"/>
  <c r="I43" i="28"/>
  <c r="J43" i="28"/>
  <c r="K43" i="28"/>
  <c r="L43" i="28"/>
  <c r="F73" i="28"/>
  <c r="G73" i="28"/>
  <c r="H73" i="28"/>
  <c r="I73" i="28"/>
  <c r="J73" i="28"/>
  <c r="K73" i="28"/>
  <c r="L73" i="28"/>
  <c r="F10" i="28"/>
  <c r="G10" i="28"/>
  <c r="H10" i="28"/>
  <c r="I10" i="28"/>
  <c r="J10" i="28"/>
  <c r="K10" i="28"/>
  <c r="L10" i="28"/>
  <c r="F35" i="28"/>
  <c r="G35" i="28"/>
  <c r="H35" i="28"/>
  <c r="I35" i="28"/>
  <c r="J35" i="28"/>
  <c r="K35" i="28"/>
  <c r="L35" i="28"/>
  <c r="F9" i="28"/>
  <c r="G9" i="28"/>
  <c r="H9" i="28"/>
  <c r="I9" i="28"/>
  <c r="J9" i="28"/>
  <c r="K9" i="28"/>
  <c r="L9" i="28"/>
  <c r="F11" i="28"/>
  <c r="G11" i="28"/>
  <c r="H11" i="28"/>
  <c r="I11" i="28"/>
  <c r="J11" i="28"/>
  <c r="K11" i="28"/>
  <c r="L11" i="28"/>
  <c r="F29" i="28"/>
  <c r="G29" i="28"/>
  <c r="H29" i="28"/>
  <c r="I29" i="28"/>
  <c r="J29" i="28"/>
  <c r="K29" i="28"/>
  <c r="L29" i="28"/>
  <c r="F25" i="28"/>
  <c r="G25" i="28"/>
  <c r="H25" i="28"/>
  <c r="I25" i="28"/>
  <c r="J25" i="28"/>
  <c r="K25" i="28"/>
  <c r="L25" i="28"/>
  <c r="F54" i="28"/>
  <c r="G54" i="28"/>
  <c r="H54" i="28"/>
  <c r="I54" i="28"/>
  <c r="J54" i="28"/>
  <c r="K54" i="28"/>
  <c r="L54" i="28"/>
  <c r="F72" i="28"/>
  <c r="G72" i="28"/>
  <c r="H72" i="28"/>
  <c r="I72" i="28"/>
  <c r="J72" i="28"/>
  <c r="K72" i="28"/>
  <c r="L72" i="28"/>
  <c r="F21" i="28"/>
  <c r="G21" i="28"/>
  <c r="H21" i="28"/>
  <c r="I21" i="28"/>
  <c r="J21" i="28"/>
  <c r="K21" i="28"/>
  <c r="L21" i="28"/>
  <c r="F53" i="28"/>
  <c r="G53" i="28"/>
  <c r="H53" i="28"/>
  <c r="I53" i="28"/>
  <c r="J53" i="28"/>
  <c r="K53" i="28"/>
  <c r="L53" i="28"/>
  <c r="F46" i="28"/>
  <c r="G46" i="28"/>
  <c r="H46" i="28"/>
  <c r="I46" i="28"/>
  <c r="J46" i="28"/>
  <c r="K46" i="28"/>
  <c r="L46" i="28"/>
  <c r="F18" i="28"/>
  <c r="G18" i="28"/>
  <c r="H18" i="28"/>
  <c r="I18" i="28"/>
  <c r="J18" i="28"/>
  <c r="K18" i="28"/>
  <c r="L18" i="28"/>
  <c r="F26" i="28"/>
  <c r="G26" i="28"/>
  <c r="H26" i="28"/>
  <c r="I26" i="28"/>
  <c r="J26" i="28"/>
  <c r="K26" i="28"/>
  <c r="L26" i="28"/>
  <c r="F40" i="28"/>
  <c r="G40" i="28"/>
  <c r="H40" i="28"/>
  <c r="I40" i="28"/>
  <c r="J40" i="28"/>
  <c r="K40" i="28"/>
  <c r="L40" i="28"/>
  <c r="F17" i="28"/>
  <c r="G17" i="28"/>
  <c r="H17" i="28"/>
  <c r="I17" i="28"/>
  <c r="J17" i="28"/>
  <c r="K17" i="28"/>
  <c r="L17" i="28"/>
  <c r="F22" i="28"/>
  <c r="G22" i="28"/>
  <c r="H22" i="28"/>
  <c r="I22" i="28"/>
  <c r="J22" i="28"/>
  <c r="K22" i="28"/>
  <c r="L22" i="28"/>
  <c r="F14" i="28"/>
  <c r="G14" i="28"/>
  <c r="H14" i="28"/>
  <c r="I14" i="28"/>
  <c r="J14" i="28"/>
  <c r="K14" i="28"/>
  <c r="L14" i="28"/>
  <c r="F56" i="28"/>
  <c r="G56" i="28"/>
  <c r="H56" i="28"/>
  <c r="I56" i="28"/>
  <c r="J56" i="28"/>
  <c r="K56" i="28"/>
  <c r="L56" i="28"/>
  <c r="F31" i="28"/>
  <c r="G31" i="28"/>
  <c r="H31" i="28"/>
  <c r="I31" i="28"/>
  <c r="J31" i="28"/>
  <c r="K31" i="28"/>
  <c r="L31" i="28"/>
  <c r="F24" i="28"/>
  <c r="G24" i="28"/>
  <c r="H24" i="28"/>
  <c r="I24" i="28"/>
  <c r="J24" i="28"/>
  <c r="K24" i="28"/>
  <c r="L24" i="28"/>
  <c r="F74" i="28"/>
  <c r="G74" i="28"/>
  <c r="H74" i="28"/>
  <c r="I74" i="28"/>
  <c r="J74" i="28"/>
  <c r="K74" i="28"/>
  <c r="L74" i="28"/>
  <c r="F50" i="28"/>
  <c r="G50" i="28"/>
  <c r="H50" i="28"/>
  <c r="I50" i="28"/>
  <c r="J50" i="28"/>
  <c r="K50" i="28"/>
  <c r="L50" i="28"/>
  <c r="F55" i="28"/>
  <c r="G55" i="28"/>
  <c r="H55" i="28"/>
  <c r="I55" i="28"/>
  <c r="J55" i="28"/>
  <c r="K55" i="28"/>
  <c r="L55" i="28"/>
  <c r="F20" i="28"/>
  <c r="G20" i="28"/>
  <c r="H20" i="28"/>
  <c r="I20" i="28"/>
  <c r="J20" i="28"/>
  <c r="K20" i="28"/>
  <c r="L20" i="28"/>
  <c r="F19" i="28"/>
  <c r="G19" i="28"/>
  <c r="H19" i="28"/>
  <c r="I19" i="28"/>
  <c r="J19" i="28"/>
  <c r="K19" i="28"/>
  <c r="L19" i="28"/>
  <c r="F23" i="28"/>
  <c r="G23" i="28"/>
  <c r="H23" i="28"/>
  <c r="I23" i="28"/>
  <c r="J23" i="28"/>
  <c r="K23" i="28"/>
  <c r="L23" i="28"/>
  <c r="F75" i="28"/>
  <c r="G75" i="28"/>
  <c r="H75" i="28"/>
  <c r="I75" i="28"/>
  <c r="J75" i="28"/>
  <c r="K75" i="28"/>
  <c r="L75" i="28"/>
  <c r="F51" i="28"/>
  <c r="G51" i="28"/>
  <c r="H51" i="28"/>
  <c r="I51" i="28"/>
  <c r="J51" i="28"/>
  <c r="K51" i="28"/>
  <c r="L51" i="28"/>
  <c r="F38" i="28"/>
  <c r="G38" i="28"/>
  <c r="H38" i="28"/>
  <c r="I38" i="28"/>
  <c r="J38" i="28"/>
  <c r="K38" i="28"/>
  <c r="L38" i="28"/>
  <c r="F27" i="28"/>
  <c r="G27" i="28"/>
  <c r="H27" i="28"/>
  <c r="I27" i="28"/>
  <c r="J27" i="28"/>
  <c r="K27" i="28"/>
  <c r="L27" i="28"/>
  <c r="F42" i="28"/>
  <c r="G42" i="28"/>
  <c r="H42" i="28"/>
  <c r="I42" i="28"/>
  <c r="J42" i="28"/>
  <c r="K42" i="28"/>
  <c r="L42" i="28"/>
  <c r="F71" i="28"/>
  <c r="G71" i="28"/>
  <c r="H71" i="28"/>
  <c r="I71" i="28"/>
  <c r="J71" i="28"/>
  <c r="K71" i="28"/>
  <c r="L71" i="28"/>
  <c r="F44" i="28"/>
  <c r="G44" i="28"/>
  <c r="H44" i="28"/>
  <c r="I44" i="28"/>
  <c r="J44" i="28"/>
  <c r="K44" i="28"/>
  <c r="L44" i="28"/>
  <c r="F76" i="28"/>
  <c r="G76" i="28"/>
  <c r="H76" i="28"/>
  <c r="I76" i="28"/>
  <c r="J76" i="28"/>
  <c r="K76" i="28"/>
  <c r="L76" i="28"/>
  <c r="F16" i="28"/>
  <c r="G16" i="28"/>
  <c r="H16" i="28"/>
  <c r="I16" i="28"/>
  <c r="J16" i="28"/>
  <c r="K16" i="28"/>
  <c r="L16" i="28"/>
  <c r="F68" i="28"/>
  <c r="G68" i="28"/>
  <c r="H68" i="28"/>
  <c r="I68" i="28"/>
  <c r="J68" i="28"/>
  <c r="K68" i="28"/>
  <c r="L68" i="28"/>
  <c r="F47" i="28"/>
  <c r="G47" i="28"/>
  <c r="H47" i="28"/>
  <c r="I47" i="28"/>
  <c r="J47" i="28"/>
  <c r="K47" i="28"/>
  <c r="L47" i="28"/>
  <c r="F36" i="28"/>
  <c r="G36" i="28"/>
  <c r="H36" i="28"/>
  <c r="I36" i="28"/>
  <c r="J36" i="28"/>
  <c r="K36" i="28"/>
  <c r="L36" i="28"/>
  <c r="F41" i="28"/>
  <c r="G41" i="28"/>
  <c r="H41" i="28"/>
  <c r="I41" i="28"/>
  <c r="J41" i="28"/>
  <c r="K41" i="28"/>
  <c r="L41" i="28"/>
  <c r="F45" i="28"/>
  <c r="G45" i="28"/>
  <c r="H45" i="28"/>
  <c r="I45" i="28"/>
  <c r="J45" i="28"/>
  <c r="K45" i="28"/>
  <c r="L45" i="28"/>
  <c r="F65" i="28"/>
  <c r="G65" i="28"/>
  <c r="H65" i="28"/>
  <c r="I65" i="28"/>
  <c r="J65" i="28"/>
  <c r="K65" i="28"/>
  <c r="L65" i="28"/>
  <c r="F33" i="28"/>
  <c r="G33" i="28"/>
  <c r="H33" i="28"/>
  <c r="I33" i="28"/>
  <c r="J33" i="28"/>
  <c r="K33" i="28"/>
  <c r="L33" i="28"/>
  <c r="F64" i="28"/>
  <c r="G64" i="28"/>
  <c r="H64" i="28"/>
  <c r="I64" i="28"/>
  <c r="J64" i="28"/>
  <c r="K64" i="28"/>
  <c r="L64" i="28"/>
  <c r="F67" i="28"/>
  <c r="G67" i="28"/>
  <c r="H67" i="28"/>
  <c r="I67" i="28"/>
  <c r="J67" i="28"/>
  <c r="K67" i="28"/>
  <c r="L67" i="28"/>
  <c r="F28" i="28"/>
  <c r="G28" i="28"/>
  <c r="H28" i="28"/>
  <c r="I28" i="28"/>
  <c r="J28" i="28"/>
  <c r="K28" i="28"/>
  <c r="L28" i="28"/>
  <c r="F30" i="28"/>
  <c r="G30" i="28"/>
  <c r="H30" i="28"/>
  <c r="I30" i="28"/>
  <c r="J30" i="28"/>
  <c r="K30" i="28"/>
  <c r="L30" i="28"/>
  <c r="F37" i="28"/>
  <c r="G37" i="28"/>
  <c r="H37" i="28"/>
  <c r="I37" i="28"/>
  <c r="J37" i="28"/>
  <c r="K37" i="28"/>
  <c r="L37" i="28"/>
  <c r="F32" i="28"/>
  <c r="G32" i="28"/>
  <c r="H32" i="28"/>
  <c r="I32" i="28"/>
  <c r="J32" i="28"/>
  <c r="K32" i="28"/>
  <c r="L32" i="28"/>
  <c r="F69" i="28"/>
  <c r="G69" i="28"/>
  <c r="H69" i="28"/>
  <c r="I69" i="28"/>
  <c r="J69" i="28"/>
  <c r="K69" i="28"/>
  <c r="L69" i="28"/>
  <c r="F39" i="28"/>
  <c r="G39" i="28"/>
  <c r="H39" i="28"/>
  <c r="I39" i="28"/>
  <c r="J39" i="28"/>
  <c r="K39" i="28"/>
  <c r="L39" i="28"/>
  <c r="F61" i="28"/>
  <c r="G61" i="28"/>
  <c r="H61" i="28"/>
  <c r="I61" i="28"/>
  <c r="J61" i="28"/>
  <c r="K61" i="28"/>
  <c r="L61" i="28"/>
  <c r="F59" i="28"/>
  <c r="G59" i="28"/>
  <c r="H59" i="28"/>
  <c r="I59" i="28"/>
  <c r="J59" i="28"/>
  <c r="K59" i="28"/>
  <c r="L59" i="28"/>
  <c r="F48" i="28"/>
  <c r="G48" i="28"/>
  <c r="H48" i="28"/>
  <c r="I48" i="28"/>
  <c r="J48" i="28"/>
  <c r="K48" i="28"/>
  <c r="L48" i="28"/>
  <c r="F66" i="28"/>
  <c r="G66" i="28"/>
  <c r="H66" i="28"/>
  <c r="I66" i="28"/>
  <c r="J66" i="28"/>
  <c r="K66" i="28"/>
  <c r="L66" i="28"/>
  <c r="F57" i="28"/>
  <c r="G57" i="28"/>
  <c r="H57" i="28"/>
  <c r="I57" i="28"/>
  <c r="J57" i="28"/>
  <c r="K57" i="28"/>
  <c r="L57" i="28"/>
  <c r="F60" i="28"/>
  <c r="G60" i="28"/>
  <c r="H60" i="28"/>
  <c r="I60" i="28"/>
  <c r="J60" i="28"/>
  <c r="K60" i="28"/>
  <c r="L60" i="28"/>
  <c r="F70" i="28"/>
  <c r="G70" i="28"/>
  <c r="H70" i="28"/>
  <c r="I70" i="28"/>
  <c r="J70" i="28"/>
  <c r="K70" i="28"/>
  <c r="L70" i="28"/>
  <c r="F63" i="28"/>
  <c r="G63" i="28"/>
  <c r="H63" i="28"/>
  <c r="I63" i="28"/>
  <c r="J63" i="28"/>
  <c r="K63" i="28"/>
  <c r="L63" i="28"/>
  <c r="F58" i="28"/>
  <c r="G58" i="28"/>
  <c r="H58" i="28"/>
  <c r="I58" i="28"/>
  <c r="J58" i="28"/>
  <c r="K58" i="28"/>
  <c r="L58" i="28"/>
  <c r="F49" i="28"/>
  <c r="G49" i="28"/>
  <c r="H49" i="28"/>
  <c r="I49" i="28"/>
  <c r="J49" i="28"/>
  <c r="K49" i="28"/>
  <c r="L49" i="28"/>
  <c r="F62" i="28"/>
  <c r="G62" i="28"/>
  <c r="H62" i="28"/>
  <c r="I62" i="28"/>
  <c r="J62" i="28"/>
  <c r="K62" i="28"/>
  <c r="L62" i="28"/>
  <c r="L8" i="28"/>
  <c r="K8" i="28"/>
  <c r="J8" i="28"/>
  <c r="I8" i="28"/>
  <c r="H8" i="28"/>
  <c r="G8" i="28"/>
  <c r="F8" i="28"/>
  <c r="E8" i="28"/>
  <c r="D8" i="28"/>
  <c r="I62" i="1"/>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B69" i="19"/>
  <c r="C69" i="19"/>
  <c r="C7" i="12"/>
  <c r="D7" i="12"/>
  <c r="F7" i="12"/>
  <c r="G7" i="12"/>
  <c r="H7" i="12"/>
  <c r="I7" i="12"/>
  <c r="J7" i="12"/>
  <c r="K7" i="12"/>
  <c r="L7" i="12"/>
  <c r="C13" i="12"/>
  <c r="D13" i="12"/>
  <c r="F13" i="12"/>
  <c r="G13" i="12"/>
  <c r="H13" i="12"/>
  <c r="I13" i="12"/>
  <c r="J13" i="12"/>
  <c r="K13" i="12"/>
  <c r="L13" i="12"/>
  <c r="C22" i="12"/>
  <c r="D22" i="12"/>
  <c r="F22" i="12"/>
  <c r="G22" i="12"/>
  <c r="H22" i="12"/>
  <c r="I22" i="12"/>
  <c r="J22" i="12"/>
  <c r="K22" i="12"/>
  <c r="L22" i="12"/>
  <c r="C18" i="12"/>
  <c r="D18" i="12"/>
  <c r="F18" i="12"/>
  <c r="G18" i="12"/>
  <c r="H18" i="12"/>
  <c r="I18" i="12"/>
  <c r="J18" i="12"/>
  <c r="K18" i="12"/>
  <c r="L18" i="12"/>
  <c r="C9" i="13"/>
  <c r="D9" i="13"/>
  <c r="F9" i="13"/>
  <c r="G9" i="13"/>
  <c r="H9" i="13"/>
  <c r="I9" i="13"/>
  <c r="J9" i="13"/>
  <c r="K9" i="13"/>
  <c r="L9" i="13"/>
  <c r="C32" i="13"/>
  <c r="D32" i="13"/>
  <c r="F32" i="13"/>
  <c r="G32" i="13"/>
  <c r="H32" i="13"/>
  <c r="I32" i="13"/>
  <c r="J32" i="13"/>
  <c r="K32" i="13"/>
  <c r="L32" i="13"/>
  <c r="C23" i="13"/>
  <c r="D23" i="13"/>
  <c r="F23" i="13"/>
  <c r="G23" i="13"/>
  <c r="H23" i="13"/>
  <c r="I23" i="13"/>
  <c r="J23" i="13"/>
  <c r="K23" i="13"/>
  <c r="L23" i="13"/>
  <c r="C19" i="13"/>
  <c r="D19" i="13"/>
  <c r="F19" i="13"/>
  <c r="G19" i="13"/>
  <c r="H19" i="13"/>
  <c r="I19" i="13"/>
  <c r="J19" i="13"/>
  <c r="K19" i="13"/>
  <c r="L19" i="13"/>
  <c r="C17" i="13"/>
  <c r="D17" i="13"/>
  <c r="F17" i="13"/>
  <c r="G17" i="13"/>
  <c r="H17" i="13"/>
  <c r="I17" i="13"/>
  <c r="J17" i="13"/>
  <c r="K17" i="13"/>
  <c r="L17" i="13"/>
  <c r="C46" i="13"/>
  <c r="D46" i="13"/>
  <c r="F46" i="13"/>
  <c r="G46" i="13"/>
  <c r="H46" i="13"/>
  <c r="I46" i="13"/>
  <c r="J46" i="13"/>
  <c r="K46" i="13"/>
  <c r="L46" i="13"/>
  <c r="N46" i="13"/>
  <c r="C27" i="13"/>
  <c r="D27" i="13"/>
  <c r="F27" i="13"/>
  <c r="G27" i="13"/>
  <c r="H27" i="13"/>
  <c r="I27" i="13"/>
  <c r="J27" i="13"/>
  <c r="K27" i="13"/>
  <c r="L27" i="13"/>
  <c r="C13" i="13"/>
  <c r="D13" i="13"/>
  <c r="F13" i="13"/>
  <c r="G13" i="13"/>
  <c r="H13" i="13"/>
  <c r="I13" i="13"/>
  <c r="J13" i="13"/>
  <c r="K13" i="13"/>
  <c r="L13" i="13"/>
  <c r="C22" i="13"/>
  <c r="D22" i="13"/>
  <c r="F22" i="13"/>
  <c r="G22" i="13"/>
  <c r="H22" i="13"/>
  <c r="I22" i="13"/>
  <c r="J22" i="13"/>
  <c r="K22" i="13"/>
  <c r="L22" i="13"/>
  <c r="C31" i="13"/>
  <c r="D31" i="13"/>
  <c r="F31" i="13"/>
  <c r="G31" i="13"/>
  <c r="H31" i="13"/>
  <c r="I31" i="13"/>
  <c r="J31" i="13"/>
  <c r="K31" i="13"/>
  <c r="L31" i="13"/>
  <c r="C16" i="13"/>
  <c r="D16" i="13"/>
  <c r="F16" i="13"/>
  <c r="G16" i="13"/>
  <c r="H16" i="13"/>
  <c r="I16" i="13"/>
  <c r="J16" i="13"/>
  <c r="K16" i="13"/>
  <c r="L16" i="13"/>
  <c r="C34" i="13"/>
  <c r="D34" i="13"/>
  <c r="F34" i="13"/>
  <c r="G34" i="13"/>
  <c r="H34" i="13"/>
  <c r="I34" i="13"/>
  <c r="J34" i="13"/>
  <c r="K34" i="13"/>
  <c r="L34" i="13"/>
  <c r="F46" i="15"/>
  <c r="G46" i="15"/>
  <c r="H46" i="15"/>
  <c r="I46" i="15"/>
  <c r="J46" i="15"/>
  <c r="K46" i="15"/>
  <c r="L46" i="15"/>
  <c r="F38" i="15"/>
  <c r="G38" i="15"/>
  <c r="H38" i="15"/>
  <c r="I38" i="15"/>
  <c r="J38" i="15"/>
  <c r="K38" i="15"/>
  <c r="L38" i="15"/>
  <c r="F33" i="15"/>
  <c r="G33" i="15"/>
  <c r="H33" i="15"/>
  <c r="I33" i="15"/>
  <c r="J33" i="15"/>
  <c r="K33" i="15"/>
  <c r="L33" i="15"/>
  <c r="F48" i="15"/>
  <c r="G48" i="15"/>
  <c r="H48" i="15"/>
  <c r="I48" i="15"/>
  <c r="J48" i="15"/>
  <c r="K48" i="15"/>
  <c r="L48" i="15"/>
  <c r="F37" i="15"/>
  <c r="G37" i="15"/>
  <c r="H37" i="15"/>
  <c r="I37" i="15"/>
  <c r="J37" i="15"/>
  <c r="K37" i="15"/>
  <c r="L37" i="15"/>
  <c r="F42" i="15"/>
  <c r="G42" i="15"/>
  <c r="H42" i="15"/>
  <c r="I42" i="15"/>
  <c r="J42" i="15"/>
  <c r="K42" i="15"/>
  <c r="L42" i="15"/>
  <c r="F74" i="15"/>
  <c r="G74" i="15"/>
  <c r="H74" i="15"/>
  <c r="I74" i="15"/>
  <c r="J74" i="15"/>
  <c r="K74" i="15"/>
  <c r="L74" i="15"/>
  <c r="F47" i="15"/>
  <c r="G47" i="15"/>
  <c r="H47" i="15"/>
  <c r="I47" i="15"/>
  <c r="J47" i="15"/>
  <c r="K47" i="15"/>
  <c r="L47" i="15"/>
  <c r="F75" i="15"/>
  <c r="G75" i="15"/>
  <c r="H75" i="15"/>
  <c r="I75" i="15"/>
  <c r="J75" i="15"/>
  <c r="K75" i="15"/>
  <c r="L75" i="15"/>
  <c r="F32" i="15"/>
  <c r="G32" i="15"/>
  <c r="H32" i="15"/>
  <c r="I32" i="15"/>
  <c r="J32" i="15"/>
  <c r="K32" i="15"/>
  <c r="L32" i="15"/>
  <c r="F51" i="15"/>
  <c r="G51" i="15"/>
  <c r="H51" i="15"/>
  <c r="I51" i="15"/>
  <c r="J51" i="15"/>
  <c r="K51" i="15"/>
  <c r="L51" i="15"/>
  <c r="D46" i="15"/>
  <c r="D38" i="15"/>
  <c r="D33" i="15"/>
  <c r="D48" i="15"/>
  <c r="D37" i="15"/>
  <c r="D42" i="15"/>
  <c r="D74" i="15"/>
  <c r="D47" i="15"/>
  <c r="D75" i="15"/>
  <c r="D32" i="15"/>
  <c r="D51" i="15"/>
  <c r="C46" i="15"/>
  <c r="C38" i="15"/>
  <c r="C33" i="15"/>
  <c r="C48" i="15"/>
  <c r="C37" i="15"/>
  <c r="C42" i="15"/>
  <c r="C74" i="15"/>
  <c r="C47" i="15"/>
  <c r="C75" i="15"/>
  <c r="C32" i="15"/>
  <c r="C51" i="15"/>
  <c r="E12" i="20"/>
  <c r="F12" i="20"/>
  <c r="G12" i="20"/>
  <c r="H12" i="20"/>
  <c r="I12" i="20"/>
  <c r="J12" i="20"/>
  <c r="K12" i="20"/>
  <c r="M12" i="20"/>
  <c r="N12" i="20"/>
  <c r="O12" i="20"/>
  <c r="P12" i="20"/>
  <c r="E11" i="20"/>
  <c r="F11" i="20"/>
  <c r="G11" i="20"/>
  <c r="H11" i="20"/>
  <c r="I11" i="20"/>
  <c r="J11" i="20"/>
  <c r="K11" i="20"/>
  <c r="E17" i="3"/>
  <c r="F17" i="3"/>
  <c r="G17" i="3"/>
  <c r="H17" i="3"/>
  <c r="I17" i="3"/>
  <c r="J17" i="3"/>
  <c r="K17" i="3"/>
  <c r="P17" i="3"/>
  <c r="E9" i="24"/>
  <c r="F9" i="24"/>
  <c r="G9" i="24"/>
  <c r="H9" i="24"/>
  <c r="I9" i="24"/>
  <c r="J9" i="24"/>
  <c r="K9" i="24"/>
  <c r="E11" i="24"/>
  <c r="F11" i="24"/>
  <c r="G11" i="24"/>
  <c r="H11" i="24"/>
  <c r="I11" i="24"/>
  <c r="J11" i="24"/>
  <c r="K11" i="24"/>
  <c r="E14" i="24"/>
  <c r="F14" i="24"/>
  <c r="G14" i="24"/>
  <c r="H14" i="24"/>
  <c r="I14" i="24"/>
  <c r="J14" i="24"/>
  <c r="K14" i="24"/>
  <c r="N14" i="24"/>
  <c r="O14" i="24"/>
  <c r="P14" i="24"/>
  <c r="E12" i="24"/>
  <c r="F12" i="24"/>
  <c r="G12" i="24"/>
  <c r="H12" i="24"/>
  <c r="I12" i="24"/>
  <c r="J12" i="24"/>
  <c r="K12" i="24"/>
  <c r="E11" i="22"/>
  <c r="F11" i="22"/>
  <c r="G11" i="22"/>
  <c r="H11" i="22"/>
  <c r="I11" i="22"/>
  <c r="J11" i="22"/>
  <c r="K11" i="22"/>
  <c r="B8" i="22"/>
  <c r="B9" i="22"/>
  <c r="B8" i="23"/>
  <c r="G10" i="23"/>
  <c r="H10" i="23"/>
  <c r="I10" i="23"/>
  <c r="J10" i="23"/>
  <c r="K10" i="23"/>
  <c r="G19" i="23"/>
  <c r="H19" i="23"/>
  <c r="I19" i="23"/>
  <c r="J19" i="23"/>
  <c r="K19" i="23"/>
  <c r="M19" i="23"/>
  <c r="N19" i="23"/>
  <c r="O19" i="23"/>
  <c r="P19" i="23"/>
  <c r="G20" i="23"/>
  <c r="H20" i="23"/>
  <c r="I20" i="23"/>
  <c r="J20" i="23"/>
  <c r="K20" i="23"/>
  <c r="M20" i="23"/>
  <c r="N20" i="23"/>
  <c r="O20" i="23"/>
  <c r="P20" i="23"/>
  <c r="G21" i="23"/>
  <c r="H21" i="23"/>
  <c r="I21" i="23"/>
  <c r="J21" i="23"/>
  <c r="K21" i="23"/>
  <c r="O21" i="23"/>
  <c r="P21" i="23"/>
  <c r="G11" i="23"/>
  <c r="H11" i="23"/>
  <c r="I11" i="23"/>
  <c r="J11" i="23"/>
  <c r="K11" i="23"/>
  <c r="G7" i="23"/>
  <c r="H7" i="23"/>
  <c r="I7" i="23"/>
  <c r="J7" i="23"/>
  <c r="K7" i="23"/>
  <c r="G22" i="23"/>
  <c r="H22" i="23"/>
  <c r="I22" i="23"/>
  <c r="J22" i="23"/>
  <c r="K22" i="23"/>
  <c r="N22" i="23"/>
  <c r="O22" i="23"/>
  <c r="P22" i="23"/>
  <c r="G23" i="23"/>
  <c r="H23" i="23"/>
  <c r="I23" i="23"/>
  <c r="J23" i="23"/>
  <c r="K23" i="23"/>
  <c r="G24" i="23"/>
  <c r="H24" i="23"/>
  <c r="I24" i="23"/>
  <c r="J24" i="23"/>
  <c r="K24" i="23"/>
  <c r="M24" i="23"/>
  <c r="N24" i="23"/>
  <c r="O24" i="23"/>
  <c r="P24" i="23"/>
  <c r="G25" i="23"/>
  <c r="H25" i="23"/>
  <c r="I25" i="23"/>
  <c r="J25" i="23"/>
  <c r="K25" i="23"/>
  <c r="L25" i="23"/>
  <c r="M25" i="23"/>
  <c r="N25" i="23"/>
  <c r="O25" i="23"/>
  <c r="P25" i="23"/>
  <c r="G13" i="23"/>
  <c r="H13" i="23"/>
  <c r="I13" i="23"/>
  <c r="J13" i="23"/>
  <c r="K13" i="23"/>
  <c r="G17" i="23"/>
  <c r="H17" i="23"/>
  <c r="I17" i="23"/>
  <c r="J17" i="23"/>
  <c r="K17" i="23"/>
  <c r="G9" i="23"/>
  <c r="H9" i="23"/>
  <c r="I9" i="23"/>
  <c r="J9" i="23"/>
  <c r="K9" i="23"/>
  <c r="G12" i="23"/>
  <c r="H12" i="23"/>
  <c r="I12" i="23"/>
  <c r="J12" i="23"/>
  <c r="K12" i="23"/>
  <c r="G8" i="23"/>
  <c r="H8" i="23"/>
  <c r="I8" i="23"/>
  <c r="J8" i="23"/>
  <c r="K8" i="23"/>
  <c r="G26" i="23"/>
  <c r="H26" i="23"/>
  <c r="I26" i="23"/>
  <c r="J26" i="23"/>
  <c r="K26" i="23"/>
  <c r="L26" i="23"/>
  <c r="M26" i="23"/>
  <c r="N26" i="23"/>
  <c r="O26" i="23"/>
  <c r="P26" i="23"/>
  <c r="G18" i="23"/>
  <c r="H18" i="23"/>
  <c r="I18" i="23"/>
  <c r="J18" i="23"/>
  <c r="K18" i="23"/>
  <c r="G15" i="23"/>
  <c r="H15" i="23"/>
  <c r="I15" i="23"/>
  <c r="J15" i="23"/>
  <c r="K15" i="23"/>
  <c r="G16" i="23"/>
  <c r="H16" i="23"/>
  <c r="I16" i="23"/>
  <c r="J16" i="23"/>
  <c r="K16" i="23"/>
  <c r="F10" i="23"/>
  <c r="F19" i="23"/>
  <c r="F20" i="23"/>
  <c r="F21" i="23"/>
  <c r="F11" i="23"/>
  <c r="F7" i="23"/>
  <c r="F22" i="23"/>
  <c r="F23" i="23"/>
  <c r="F24" i="23"/>
  <c r="F25" i="23"/>
  <c r="F13" i="23"/>
  <c r="F17" i="23"/>
  <c r="F9" i="23"/>
  <c r="F12" i="23"/>
  <c r="F8" i="23"/>
  <c r="F26" i="23"/>
  <c r="F18" i="23"/>
  <c r="F15" i="23"/>
  <c r="F16" i="23"/>
  <c r="E17" i="23"/>
  <c r="E9" i="23"/>
  <c r="E12" i="23"/>
  <c r="E8" i="23"/>
  <c r="E26" i="23"/>
  <c r="E18" i="23"/>
  <c r="E15" i="23"/>
  <c r="E16" i="23"/>
  <c r="E10" i="23"/>
  <c r="E19" i="23"/>
  <c r="E20" i="23"/>
  <c r="E21" i="23"/>
  <c r="E11" i="23"/>
  <c r="E7" i="23"/>
  <c r="E22" i="23"/>
  <c r="E23" i="23"/>
  <c r="E24" i="23"/>
  <c r="E25" i="23"/>
  <c r="E13" i="23"/>
  <c r="F8" i="33"/>
  <c r="G8" i="33"/>
  <c r="H8" i="33"/>
  <c r="I8" i="33"/>
  <c r="J8" i="33"/>
  <c r="K8" i="33"/>
  <c r="F9" i="33"/>
  <c r="G9" i="33"/>
  <c r="H9" i="33"/>
  <c r="I9" i="33"/>
  <c r="J9" i="33"/>
  <c r="K9" i="33"/>
  <c r="K7" i="33"/>
  <c r="J7" i="33"/>
  <c r="I7" i="33"/>
  <c r="H7" i="33"/>
  <c r="G7" i="33"/>
  <c r="F7" i="33"/>
  <c r="E8" i="33"/>
  <c r="E9" i="33"/>
  <c r="E7" i="33"/>
  <c r="B27" i="16"/>
  <c r="C27" i="16"/>
  <c r="B28" i="16"/>
  <c r="C28" i="16"/>
  <c r="B29" i="16"/>
  <c r="C29" i="16"/>
  <c r="B30" i="16"/>
  <c r="C30" i="16"/>
  <c r="E27" i="16"/>
  <c r="F27" i="16"/>
  <c r="G27" i="16"/>
  <c r="H27" i="16"/>
  <c r="I27" i="16"/>
  <c r="J27" i="16"/>
  <c r="K27" i="16"/>
  <c r="E28" i="16"/>
  <c r="F28" i="16"/>
  <c r="G28" i="16"/>
  <c r="H28" i="16"/>
  <c r="I28" i="16"/>
  <c r="J28" i="16"/>
  <c r="K28" i="16"/>
  <c r="E29" i="16"/>
  <c r="F29" i="16"/>
  <c r="G29" i="16"/>
  <c r="H29" i="16"/>
  <c r="I29" i="16"/>
  <c r="J29" i="16"/>
  <c r="K29" i="16"/>
  <c r="E30" i="16"/>
  <c r="F30" i="16"/>
  <c r="G30" i="16"/>
  <c r="H30" i="16"/>
  <c r="I30" i="16"/>
  <c r="J30" i="16"/>
  <c r="K30" i="16"/>
  <c r="K26" i="16"/>
  <c r="J26" i="16"/>
  <c r="I26" i="16"/>
  <c r="H26" i="16"/>
  <c r="G26" i="16"/>
  <c r="F26" i="16"/>
  <c r="E26" i="16"/>
  <c r="C26" i="16"/>
  <c r="B26" i="16"/>
  <c r="B18" i="16"/>
  <c r="C18" i="16"/>
  <c r="B19" i="16"/>
  <c r="C19" i="16"/>
  <c r="B20" i="16"/>
  <c r="C20" i="16"/>
  <c r="B21" i="16"/>
  <c r="C21" i="16"/>
  <c r="E18" i="16"/>
  <c r="F18" i="16"/>
  <c r="G18" i="16"/>
  <c r="H18" i="16"/>
  <c r="I18" i="16"/>
  <c r="J18" i="16"/>
  <c r="K18" i="16"/>
  <c r="E19" i="16"/>
  <c r="F19" i="16"/>
  <c r="G19" i="16"/>
  <c r="H19" i="16"/>
  <c r="I19" i="16"/>
  <c r="J19" i="16"/>
  <c r="K19" i="16"/>
  <c r="E20" i="16"/>
  <c r="F20" i="16"/>
  <c r="G20" i="16"/>
  <c r="H20" i="16"/>
  <c r="I20" i="16"/>
  <c r="J20" i="16"/>
  <c r="K20" i="16"/>
  <c r="E21" i="16"/>
  <c r="F21" i="16"/>
  <c r="G21" i="16"/>
  <c r="H21" i="16"/>
  <c r="I21" i="16"/>
  <c r="J21" i="16"/>
  <c r="K21" i="16"/>
  <c r="K17" i="16"/>
  <c r="J17" i="16"/>
  <c r="I17" i="16"/>
  <c r="H17" i="16"/>
  <c r="G17" i="16"/>
  <c r="F17" i="16"/>
  <c r="E17" i="16"/>
  <c r="C17" i="16"/>
  <c r="B17" i="16"/>
  <c r="B9" i="16"/>
  <c r="C9" i="16"/>
  <c r="B10" i="16"/>
  <c r="C10" i="16"/>
  <c r="B11" i="16"/>
  <c r="C11" i="16"/>
  <c r="B12" i="16"/>
  <c r="C12" i="16"/>
  <c r="B8" i="16"/>
  <c r="C8" i="16"/>
  <c r="E9" i="16"/>
  <c r="F9" i="16"/>
  <c r="G9" i="16"/>
  <c r="H9" i="16"/>
  <c r="I9" i="16"/>
  <c r="J9" i="16"/>
  <c r="K9" i="16"/>
  <c r="E10" i="16"/>
  <c r="F10" i="16"/>
  <c r="G10" i="16"/>
  <c r="H10" i="16"/>
  <c r="I10" i="16"/>
  <c r="J10" i="16"/>
  <c r="K10" i="16"/>
  <c r="E11" i="16"/>
  <c r="F11" i="16"/>
  <c r="G11" i="16"/>
  <c r="H11" i="16"/>
  <c r="I11" i="16"/>
  <c r="J11" i="16"/>
  <c r="K11" i="16"/>
  <c r="E12" i="16"/>
  <c r="F12" i="16"/>
  <c r="G12" i="16"/>
  <c r="H12" i="16"/>
  <c r="I12" i="16"/>
  <c r="J12" i="16"/>
  <c r="K12" i="16"/>
  <c r="E8" i="16"/>
  <c r="F8" i="16"/>
  <c r="G8" i="16"/>
  <c r="H8" i="16"/>
  <c r="I8" i="16"/>
  <c r="J8" i="16"/>
  <c r="K8" i="16"/>
  <c r="O71" i="15"/>
  <c r="F7" i="15"/>
  <c r="G7" i="15"/>
  <c r="H7" i="15"/>
  <c r="I7" i="15"/>
  <c r="J7" i="15"/>
  <c r="K7" i="15"/>
  <c r="L7" i="15"/>
  <c r="F13" i="15"/>
  <c r="G13" i="15"/>
  <c r="H13" i="15"/>
  <c r="I13" i="15"/>
  <c r="J13" i="15"/>
  <c r="K13" i="15"/>
  <c r="L13" i="15"/>
  <c r="F57" i="15"/>
  <c r="G57" i="15"/>
  <c r="H57" i="15"/>
  <c r="I57" i="15"/>
  <c r="J57" i="15"/>
  <c r="K57" i="15"/>
  <c r="L57" i="15"/>
  <c r="F58" i="15"/>
  <c r="G58" i="15"/>
  <c r="H58" i="15"/>
  <c r="I58" i="15"/>
  <c r="J58" i="15"/>
  <c r="K58" i="15"/>
  <c r="L58" i="15"/>
  <c r="F23" i="15"/>
  <c r="G23" i="15"/>
  <c r="H23" i="15"/>
  <c r="I23" i="15"/>
  <c r="J23" i="15"/>
  <c r="K23" i="15"/>
  <c r="L23" i="15"/>
  <c r="F10" i="15"/>
  <c r="G10" i="15"/>
  <c r="H10" i="15"/>
  <c r="I10" i="15"/>
  <c r="J10" i="15"/>
  <c r="K10" i="15"/>
  <c r="L10" i="15"/>
  <c r="F56" i="15"/>
  <c r="G56" i="15"/>
  <c r="H56" i="15"/>
  <c r="I56" i="15"/>
  <c r="J56" i="15"/>
  <c r="K56" i="15"/>
  <c r="L56" i="15"/>
  <c r="F59" i="15"/>
  <c r="G59" i="15"/>
  <c r="H59" i="15"/>
  <c r="I59" i="15"/>
  <c r="J59" i="15"/>
  <c r="K59" i="15"/>
  <c r="L59" i="15"/>
  <c r="F9" i="15"/>
  <c r="G9" i="15"/>
  <c r="H9" i="15"/>
  <c r="I9" i="15"/>
  <c r="J9" i="15"/>
  <c r="K9" i="15"/>
  <c r="L9" i="15"/>
  <c r="F60" i="15"/>
  <c r="G60" i="15"/>
  <c r="H60" i="15"/>
  <c r="I60" i="15"/>
  <c r="J60" i="15"/>
  <c r="K60" i="15"/>
  <c r="L60" i="15"/>
  <c r="F8" i="15"/>
  <c r="G8" i="15"/>
  <c r="H8" i="15"/>
  <c r="I8" i="15"/>
  <c r="J8" i="15"/>
  <c r="K8" i="15"/>
  <c r="L8" i="15"/>
  <c r="F11" i="15"/>
  <c r="G11" i="15"/>
  <c r="H11" i="15"/>
  <c r="I11" i="15"/>
  <c r="J11" i="15"/>
  <c r="K11" i="15"/>
  <c r="L11" i="15"/>
  <c r="F45" i="15"/>
  <c r="G45" i="15"/>
  <c r="H45" i="15"/>
  <c r="I45" i="15"/>
  <c r="J45" i="15"/>
  <c r="K45" i="15"/>
  <c r="L45" i="15"/>
  <c r="F44" i="15"/>
  <c r="G44" i="15"/>
  <c r="H44" i="15"/>
  <c r="I44" i="15"/>
  <c r="J44" i="15"/>
  <c r="K44" i="15"/>
  <c r="L44" i="15"/>
  <c r="F49" i="15"/>
  <c r="G49" i="15"/>
  <c r="H49" i="15"/>
  <c r="I49" i="15"/>
  <c r="J49" i="15"/>
  <c r="K49" i="15"/>
  <c r="L49" i="15"/>
  <c r="F61" i="15"/>
  <c r="G61" i="15"/>
  <c r="H61" i="15"/>
  <c r="I61" i="15"/>
  <c r="J61" i="15"/>
  <c r="K61" i="15"/>
  <c r="L61" i="15"/>
  <c r="F54" i="15"/>
  <c r="G54" i="15"/>
  <c r="H54" i="15"/>
  <c r="I54" i="15"/>
  <c r="J54" i="15"/>
  <c r="K54" i="15"/>
  <c r="L54" i="15"/>
  <c r="F29" i="15"/>
  <c r="G29" i="15"/>
  <c r="H29" i="15"/>
  <c r="I29" i="15"/>
  <c r="J29" i="15"/>
  <c r="K29" i="15"/>
  <c r="L29" i="15"/>
  <c r="F18" i="15"/>
  <c r="G18" i="15"/>
  <c r="H18" i="15"/>
  <c r="I18" i="15"/>
  <c r="J18" i="15"/>
  <c r="K18" i="15"/>
  <c r="L18" i="15"/>
  <c r="F62" i="15"/>
  <c r="G62" i="15"/>
  <c r="H62" i="15"/>
  <c r="I62" i="15"/>
  <c r="J62" i="15"/>
  <c r="K62" i="15"/>
  <c r="L62" i="15"/>
  <c r="F63" i="15"/>
  <c r="G63" i="15"/>
  <c r="H63" i="15"/>
  <c r="I63" i="15"/>
  <c r="J63" i="15"/>
  <c r="K63" i="15"/>
  <c r="L63" i="15"/>
  <c r="F64" i="15"/>
  <c r="G64" i="15"/>
  <c r="H64" i="15"/>
  <c r="I64" i="15"/>
  <c r="J64" i="15"/>
  <c r="K64" i="15"/>
  <c r="L64" i="15"/>
  <c r="F21" i="15"/>
  <c r="G21" i="15"/>
  <c r="H21" i="15"/>
  <c r="I21" i="15"/>
  <c r="J21" i="15"/>
  <c r="K21" i="15"/>
  <c r="L21" i="15"/>
  <c r="F12" i="15"/>
  <c r="G12" i="15"/>
  <c r="H12" i="15"/>
  <c r="I12" i="15"/>
  <c r="J12" i="15"/>
  <c r="K12" i="15"/>
  <c r="L12" i="15"/>
  <c r="F65" i="15"/>
  <c r="G65" i="15"/>
  <c r="H65" i="15"/>
  <c r="I65" i="15"/>
  <c r="J65" i="15"/>
  <c r="K65" i="15"/>
  <c r="L65" i="15"/>
  <c r="F66" i="15"/>
  <c r="G66" i="15"/>
  <c r="H66" i="15"/>
  <c r="I66" i="15"/>
  <c r="J66" i="15"/>
  <c r="K66" i="15"/>
  <c r="L66" i="15"/>
  <c r="F67" i="15"/>
  <c r="G67" i="15"/>
  <c r="H67" i="15"/>
  <c r="I67" i="15"/>
  <c r="J67" i="15"/>
  <c r="K67" i="15"/>
  <c r="L67" i="15"/>
  <c r="F68" i="15"/>
  <c r="G68" i="15"/>
  <c r="H68" i="15"/>
  <c r="I68" i="15"/>
  <c r="J68" i="15"/>
  <c r="K68" i="15"/>
  <c r="L68" i="15"/>
  <c r="F27" i="15"/>
  <c r="G27" i="15"/>
  <c r="H27" i="15"/>
  <c r="I27" i="15"/>
  <c r="J27" i="15"/>
  <c r="K27" i="15"/>
  <c r="L27" i="15"/>
  <c r="F39" i="15"/>
  <c r="G39" i="15"/>
  <c r="H39" i="15"/>
  <c r="I39" i="15"/>
  <c r="J39" i="15"/>
  <c r="K39" i="15"/>
  <c r="L39" i="15"/>
  <c r="F17" i="15"/>
  <c r="G17" i="15"/>
  <c r="H17" i="15"/>
  <c r="I17" i="15"/>
  <c r="J17" i="15"/>
  <c r="K17" i="15"/>
  <c r="L17" i="15"/>
  <c r="F24" i="15"/>
  <c r="G24" i="15"/>
  <c r="H24" i="15"/>
  <c r="I24" i="15"/>
  <c r="J24" i="15"/>
  <c r="K24" i="15"/>
  <c r="L24" i="15"/>
  <c r="F16" i="15"/>
  <c r="G16" i="15"/>
  <c r="H16" i="15"/>
  <c r="I16" i="15"/>
  <c r="J16" i="15"/>
  <c r="K16" i="15"/>
  <c r="L16" i="15"/>
  <c r="F69" i="15"/>
  <c r="G69" i="15"/>
  <c r="H69" i="15"/>
  <c r="I69" i="15"/>
  <c r="J69" i="15"/>
  <c r="K69" i="15"/>
  <c r="L69" i="15"/>
  <c r="F40" i="15"/>
  <c r="G40" i="15"/>
  <c r="H40" i="15"/>
  <c r="I40" i="15"/>
  <c r="J40" i="15"/>
  <c r="K40" i="15"/>
  <c r="L40" i="15"/>
  <c r="F30" i="15"/>
  <c r="G30" i="15"/>
  <c r="H30" i="15"/>
  <c r="I30" i="15"/>
  <c r="J30" i="15"/>
  <c r="K30" i="15"/>
  <c r="L30" i="15"/>
  <c r="F19" i="15"/>
  <c r="G19" i="15"/>
  <c r="H19" i="15"/>
  <c r="I19" i="15"/>
  <c r="J19" i="15"/>
  <c r="K19" i="15"/>
  <c r="L19" i="15"/>
  <c r="F31" i="15"/>
  <c r="G31" i="15"/>
  <c r="H31" i="15"/>
  <c r="I31" i="15"/>
  <c r="J31" i="15"/>
  <c r="K31" i="15"/>
  <c r="L31" i="15"/>
  <c r="F52" i="15"/>
  <c r="G52" i="15"/>
  <c r="H52" i="15"/>
  <c r="I52" i="15"/>
  <c r="J52" i="15"/>
  <c r="K52" i="15"/>
  <c r="L52" i="15"/>
  <c r="F35" i="15"/>
  <c r="G35" i="15"/>
  <c r="H35" i="15"/>
  <c r="I35" i="15"/>
  <c r="J35" i="15"/>
  <c r="K35" i="15"/>
  <c r="L35" i="15"/>
  <c r="F70" i="15"/>
  <c r="G70" i="15"/>
  <c r="H70" i="15"/>
  <c r="I70" i="15"/>
  <c r="J70" i="15"/>
  <c r="K70" i="15"/>
  <c r="L70" i="15"/>
  <c r="F15" i="15"/>
  <c r="G15" i="15"/>
  <c r="H15" i="15"/>
  <c r="I15" i="15"/>
  <c r="J15" i="15"/>
  <c r="K15" i="15"/>
  <c r="L15" i="15"/>
  <c r="F53" i="15"/>
  <c r="G53" i="15"/>
  <c r="H53" i="15"/>
  <c r="I53" i="15"/>
  <c r="J53" i="15"/>
  <c r="K53" i="15"/>
  <c r="L53" i="15"/>
  <c r="F34" i="15"/>
  <c r="G34" i="15"/>
  <c r="H34" i="15"/>
  <c r="I34" i="15"/>
  <c r="J34" i="15"/>
  <c r="K34" i="15"/>
  <c r="L34" i="15"/>
  <c r="F28" i="15"/>
  <c r="G28" i="15"/>
  <c r="H28" i="15"/>
  <c r="I28" i="15"/>
  <c r="J28" i="15"/>
  <c r="K28" i="15"/>
  <c r="L28" i="15"/>
  <c r="F26" i="15"/>
  <c r="G26" i="15"/>
  <c r="H26" i="15"/>
  <c r="I26" i="15"/>
  <c r="J26" i="15"/>
  <c r="K26" i="15"/>
  <c r="L26" i="15"/>
  <c r="F71" i="15"/>
  <c r="G71" i="15"/>
  <c r="H71" i="15"/>
  <c r="I71" i="15"/>
  <c r="J71" i="15"/>
  <c r="K71" i="15"/>
  <c r="L71" i="15"/>
  <c r="F43" i="15"/>
  <c r="G43" i="15"/>
  <c r="H43" i="15"/>
  <c r="I43" i="15"/>
  <c r="J43" i="15"/>
  <c r="K43" i="15"/>
  <c r="L43" i="15"/>
  <c r="F25" i="15"/>
  <c r="G25" i="15"/>
  <c r="H25" i="15"/>
  <c r="I25" i="15"/>
  <c r="J25" i="15"/>
  <c r="K25" i="15"/>
  <c r="L25" i="15"/>
  <c r="F55" i="15"/>
  <c r="G55" i="15"/>
  <c r="H55" i="15"/>
  <c r="I55" i="15"/>
  <c r="J55" i="15"/>
  <c r="K55" i="15"/>
  <c r="L55" i="15"/>
  <c r="F72" i="15"/>
  <c r="G72" i="15"/>
  <c r="H72" i="15"/>
  <c r="I72" i="15"/>
  <c r="J72" i="15"/>
  <c r="K72" i="15"/>
  <c r="L72" i="15"/>
  <c r="F20" i="15"/>
  <c r="G20" i="15"/>
  <c r="H20" i="15"/>
  <c r="I20" i="15"/>
  <c r="J20" i="15"/>
  <c r="K20" i="15"/>
  <c r="L20" i="15"/>
  <c r="F22" i="15"/>
  <c r="G22" i="15"/>
  <c r="H22" i="15"/>
  <c r="I22" i="15"/>
  <c r="J22" i="15"/>
  <c r="K22" i="15"/>
  <c r="L22" i="15"/>
  <c r="F41" i="15"/>
  <c r="G41" i="15"/>
  <c r="H41" i="15"/>
  <c r="I41" i="15"/>
  <c r="J41" i="15"/>
  <c r="K41" i="15"/>
  <c r="L41" i="15"/>
  <c r="F73" i="15"/>
  <c r="G73" i="15"/>
  <c r="H73" i="15"/>
  <c r="I73" i="15"/>
  <c r="J73" i="15"/>
  <c r="K73" i="15"/>
  <c r="L73" i="15"/>
  <c r="F50" i="15"/>
  <c r="G50" i="15"/>
  <c r="H50" i="15"/>
  <c r="I50" i="15"/>
  <c r="J50" i="15"/>
  <c r="K50" i="15"/>
  <c r="L50" i="15"/>
  <c r="F36" i="15"/>
  <c r="G36" i="15"/>
  <c r="H36" i="15"/>
  <c r="I36" i="15"/>
  <c r="J36" i="15"/>
  <c r="K36" i="15"/>
  <c r="L36" i="15"/>
  <c r="F14" i="15"/>
  <c r="G14" i="15"/>
  <c r="H14" i="15"/>
  <c r="I14" i="15"/>
  <c r="J14" i="15"/>
  <c r="K14" i="15"/>
  <c r="L14" i="15"/>
  <c r="L6" i="15"/>
  <c r="K6" i="15"/>
  <c r="J6" i="15"/>
  <c r="I6" i="15"/>
  <c r="H6" i="15"/>
  <c r="G6" i="15"/>
  <c r="F6" i="15"/>
  <c r="C21" i="15"/>
  <c r="D21" i="15"/>
  <c r="C12" i="15"/>
  <c r="D12" i="15"/>
  <c r="C65" i="15"/>
  <c r="D65" i="15"/>
  <c r="C66" i="15"/>
  <c r="D66" i="15"/>
  <c r="C67" i="15"/>
  <c r="D67" i="15"/>
  <c r="C68" i="15"/>
  <c r="D68" i="15"/>
  <c r="C27" i="15"/>
  <c r="D27" i="15"/>
  <c r="C39" i="15"/>
  <c r="D39" i="15"/>
  <c r="C17" i="15"/>
  <c r="D17" i="15"/>
  <c r="C24" i="15"/>
  <c r="D24" i="15"/>
  <c r="C16" i="15"/>
  <c r="D16" i="15"/>
  <c r="C69" i="15"/>
  <c r="D69" i="15"/>
  <c r="C40" i="15"/>
  <c r="D40" i="15"/>
  <c r="C30" i="15"/>
  <c r="D30" i="15"/>
  <c r="C19" i="15"/>
  <c r="D19" i="15"/>
  <c r="C31" i="15"/>
  <c r="D31" i="15"/>
  <c r="C52" i="15"/>
  <c r="D52" i="15"/>
  <c r="C35" i="15"/>
  <c r="D35" i="15"/>
  <c r="C70" i="15"/>
  <c r="D70" i="15"/>
  <c r="C15" i="15"/>
  <c r="D15" i="15"/>
  <c r="C53" i="15"/>
  <c r="D53" i="15"/>
  <c r="C34" i="15"/>
  <c r="D34" i="15"/>
  <c r="C28" i="15"/>
  <c r="D28" i="15"/>
  <c r="C26" i="15"/>
  <c r="D26" i="15"/>
  <c r="C71" i="15"/>
  <c r="D71" i="15"/>
  <c r="C43" i="15"/>
  <c r="D43" i="15"/>
  <c r="C25" i="15"/>
  <c r="D25" i="15"/>
  <c r="C55" i="15"/>
  <c r="D55" i="15"/>
  <c r="C72" i="15"/>
  <c r="D72" i="15"/>
  <c r="C20" i="15"/>
  <c r="D20" i="15"/>
  <c r="C22" i="15"/>
  <c r="D22" i="15"/>
  <c r="C41" i="15"/>
  <c r="D41" i="15"/>
  <c r="C73" i="15"/>
  <c r="D73" i="15"/>
  <c r="C50" i="15"/>
  <c r="D50" i="15"/>
  <c r="C36" i="15"/>
  <c r="D36" i="15"/>
  <c r="C14" i="15"/>
  <c r="D14" i="15"/>
  <c r="C7" i="15"/>
  <c r="D7" i="15"/>
  <c r="C13" i="15"/>
  <c r="D13" i="15"/>
  <c r="C57" i="15"/>
  <c r="D57" i="15"/>
  <c r="C58" i="15"/>
  <c r="D58" i="15"/>
  <c r="C23" i="15"/>
  <c r="D23" i="15"/>
  <c r="C10" i="15"/>
  <c r="D10" i="15"/>
  <c r="C56" i="15"/>
  <c r="D56" i="15"/>
  <c r="C59" i="15"/>
  <c r="D59" i="15"/>
  <c r="C9" i="15"/>
  <c r="D9" i="15"/>
  <c r="C60" i="15"/>
  <c r="D60" i="15"/>
  <c r="C8" i="15"/>
  <c r="D8" i="15"/>
  <c r="C11" i="15"/>
  <c r="D11" i="15"/>
  <c r="C45" i="15"/>
  <c r="D45" i="15"/>
  <c r="C44" i="15"/>
  <c r="D44" i="15"/>
  <c r="C49" i="15"/>
  <c r="D49" i="15"/>
  <c r="C61" i="15"/>
  <c r="D61" i="15"/>
  <c r="C54" i="15"/>
  <c r="D54" i="15"/>
  <c r="C29" i="15"/>
  <c r="D29" i="15"/>
  <c r="C18" i="15"/>
  <c r="D18" i="15"/>
  <c r="C62" i="15"/>
  <c r="D62" i="15"/>
  <c r="C63" i="15"/>
  <c r="D63" i="15"/>
  <c r="C64" i="15"/>
  <c r="D64" i="15"/>
  <c r="D6" i="15"/>
  <c r="C6" i="15"/>
  <c r="F7" i="14"/>
  <c r="G7" i="14"/>
  <c r="H7" i="14"/>
  <c r="I7" i="14"/>
  <c r="J7" i="14"/>
  <c r="K7" i="14"/>
  <c r="L7" i="14"/>
  <c r="F10" i="14"/>
  <c r="G10" i="14"/>
  <c r="H10" i="14"/>
  <c r="I10" i="14"/>
  <c r="J10" i="14"/>
  <c r="K10" i="14"/>
  <c r="L10" i="14"/>
  <c r="F14" i="14"/>
  <c r="G14" i="14"/>
  <c r="H14" i="14"/>
  <c r="I14" i="14"/>
  <c r="J14" i="14"/>
  <c r="K14" i="14"/>
  <c r="L14" i="14"/>
  <c r="F15" i="14"/>
  <c r="G15" i="14"/>
  <c r="H15" i="14"/>
  <c r="I15" i="14"/>
  <c r="J15" i="14"/>
  <c r="K15" i="14"/>
  <c r="L15" i="14"/>
  <c r="F12" i="14"/>
  <c r="G12" i="14"/>
  <c r="H12" i="14"/>
  <c r="I12" i="14"/>
  <c r="J12" i="14"/>
  <c r="K12" i="14"/>
  <c r="L12" i="14"/>
  <c r="F9" i="14"/>
  <c r="G9" i="14"/>
  <c r="H9" i="14"/>
  <c r="I9" i="14"/>
  <c r="J9" i="14"/>
  <c r="K9" i="14"/>
  <c r="L9" i="14"/>
  <c r="F13" i="14"/>
  <c r="G13" i="14"/>
  <c r="H13" i="14"/>
  <c r="I13" i="14"/>
  <c r="J13" i="14"/>
  <c r="K13" i="14"/>
  <c r="L13" i="14"/>
  <c r="F16" i="14"/>
  <c r="G16" i="14"/>
  <c r="H16" i="14"/>
  <c r="I16" i="14"/>
  <c r="J16" i="14"/>
  <c r="K16" i="14"/>
  <c r="L16" i="14"/>
  <c r="F8" i="14"/>
  <c r="G8" i="14"/>
  <c r="H8" i="14"/>
  <c r="I8" i="14"/>
  <c r="J8" i="14"/>
  <c r="K8" i="14"/>
  <c r="L8" i="14"/>
  <c r="F11" i="14"/>
  <c r="G11" i="14"/>
  <c r="H11" i="14"/>
  <c r="I11" i="14"/>
  <c r="J11" i="14"/>
  <c r="K11" i="14"/>
  <c r="L11" i="14"/>
  <c r="L6" i="14"/>
  <c r="K6" i="14"/>
  <c r="J6" i="14"/>
  <c r="I6" i="14"/>
  <c r="H6" i="14"/>
  <c r="G6" i="14"/>
  <c r="F6" i="14"/>
  <c r="C7" i="14"/>
  <c r="D7" i="14"/>
  <c r="C10" i="14"/>
  <c r="D10" i="14"/>
  <c r="C14" i="14"/>
  <c r="D14" i="14"/>
  <c r="C15" i="14"/>
  <c r="D15" i="14"/>
  <c r="C12" i="14"/>
  <c r="D12" i="14"/>
  <c r="C9" i="14"/>
  <c r="D9" i="14"/>
  <c r="C13" i="14"/>
  <c r="D13" i="14"/>
  <c r="C16" i="14"/>
  <c r="D16" i="14"/>
  <c r="C8" i="14"/>
  <c r="D8" i="14"/>
  <c r="C11" i="14"/>
  <c r="D11" i="14"/>
  <c r="D6" i="14"/>
  <c r="C6" i="14"/>
  <c r="N45" i="13"/>
  <c r="O70" i="15" s="1"/>
  <c r="N47" i="13"/>
  <c r="O72" i="15" s="1"/>
  <c r="C12" i="12"/>
  <c r="D12" i="12"/>
  <c r="C9" i="12"/>
  <c r="D9" i="12"/>
  <c r="C17" i="12"/>
  <c r="D17" i="12"/>
  <c r="C11" i="12"/>
  <c r="D11" i="12"/>
  <c r="C14" i="12"/>
  <c r="D14" i="12"/>
  <c r="C20" i="12"/>
  <c r="D20" i="12"/>
  <c r="C16" i="12"/>
  <c r="D16" i="12"/>
  <c r="C21" i="12"/>
  <c r="D21" i="12"/>
  <c r="C8" i="12"/>
  <c r="D8" i="12"/>
  <c r="C19" i="12"/>
  <c r="D19" i="12"/>
  <c r="C6" i="12"/>
  <c r="D6" i="12"/>
  <c r="C10" i="12"/>
  <c r="D10" i="12"/>
  <c r="F12" i="12"/>
  <c r="G12" i="12"/>
  <c r="H12" i="12"/>
  <c r="I12" i="12"/>
  <c r="J12" i="12"/>
  <c r="K12" i="12"/>
  <c r="L12" i="12"/>
  <c r="F9" i="12"/>
  <c r="G9" i="12"/>
  <c r="H9" i="12"/>
  <c r="I9" i="12"/>
  <c r="J9" i="12"/>
  <c r="K9" i="12"/>
  <c r="L9" i="12"/>
  <c r="F17" i="12"/>
  <c r="G17" i="12"/>
  <c r="H17" i="12"/>
  <c r="I17" i="12"/>
  <c r="J17" i="12"/>
  <c r="K17" i="12"/>
  <c r="L17" i="12"/>
  <c r="F11" i="12"/>
  <c r="G11" i="12"/>
  <c r="H11" i="12"/>
  <c r="I11" i="12"/>
  <c r="J11" i="12"/>
  <c r="K11" i="12"/>
  <c r="L11" i="12"/>
  <c r="F14" i="12"/>
  <c r="G14" i="12"/>
  <c r="H14" i="12"/>
  <c r="I14" i="12"/>
  <c r="J14" i="12"/>
  <c r="K14" i="12"/>
  <c r="L14" i="12"/>
  <c r="F20" i="12"/>
  <c r="G20" i="12"/>
  <c r="H20" i="12"/>
  <c r="I20" i="12"/>
  <c r="J20" i="12"/>
  <c r="K20" i="12"/>
  <c r="L20" i="12"/>
  <c r="F16" i="12"/>
  <c r="G16" i="12"/>
  <c r="H16" i="12"/>
  <c r="I16" i="12"/>
  <c r="J16" i="12"/>
  <c r="K16" i="12"/>
  <c r="L16" i="12"/>
  <c r="F21" i="12"/>
  <c r="G21" i="12"/>
  <c r="H21" i="12"/>
  <c r="I21" i="12"/>
  <c r="J21" i="12"/>
  <c r="K21" i="12"/>
  <c r="L21" i="12"/>
  <c r="F8" i="12"/>
  <c r="G8" i="12"/>
  <c r="H8" i="12"/>
  <c r="I8" i="12"/>
  <c r="J8" i="12"/>
  <c r="K8" i="12"/>
  <c r="L8" i="12"/>
  <c r="F19" i="12"/>
  <c r="G19" i="12"/>
  <c r="H19" i="12"/>
  <c r="I19" i="12"/>
  <c r="J19" i="12"/>
  <c r="K19" i="12"/>
  <c r="L19" i="12"/>
  <c r="F6" i="12"/>
  <c r="G6" i="12"/>
  <c r="H6" i="12"/>
  <c r="I6" i="12"/>
  <c r="J6" i="12"/>
  <c r="K6" i="12"/>
  <c r="L6" i="12"/>
  <c r="F10" i="12"/>
  <c r="G10" i="12"/>
  <c r="H10" i="12"/>
  <c r="I10" i="12"/>
  <c r="J10" i="12"/>
  <c r="K10" i="12"/>
  <c r="L10" i="12"/>
  <c r="L15" i="12"/>
  <c r="K15" i="12"/>
  <c r="J15" i="12"/>
  <c r="I15" i="12"/>
  <c r="H15" i="12"/>
  <c r="C15" i="12"/>
  <c r="D15" i="12"/>
  <c r="G15" i="12"/>
  <c r="F15" i="12"/>
  <c r="E8" i="25"/>
  <c r="F8" i="25"/>
  <c r="G8" i="25"/>
  <c r="H8" i="25"/>
  <c r="I8" i="25"/>
  <c r="J8" i="25"/>
  <c r="K8" i="25"/>
  <c r="E11" i="25"/>
  <c r="F11" i="25"/>
  <c r="G11" i="25"/>
  <c r="H11" i="25"/>
  <c r="I11" i="25"/>
  <c r="J11" i="25"/>
  <c r="K11" i="25"/>
  <c r="E15" i="25"/>
  <c r="F15" i="25"/>
  <c r="G15" i="25"/>
  <c r="H15" i="25"/>
  <c r="I15" i="25"/>
  <c r="J15" i="25"/>
  <c r="K15" i="25"/>
  <c r="E16" i="25"/>
  <c r="F16" i="25"/>
  <c r="G16" i="25"/>
  <c r="H16" i="25"/>
  <c r="I16" i="25"/>
  <c r="J16" i="25"/>
  <c r="K16" i="25"/>
  <c r="E13" i="25"/>
  <c r="F13" i="25"/>
  <c r="G13" i="25"/>
  <c r="H13" i="25"/>
  <c r="I13" i="25"/>
  <c r="J13" i="25"/>
  <c r="K13" i="25"/>
  <c r="E10" i="25"/>
  <c r="F10" i="25"/>
  <c r="G10" i="25"/>
  <c r="H10" i="25"/>
  <c r="I10" i="25"/>
  <c r="J10" i="25"/>
  <c r="K10" i="25"/>
  <c r="E14" i="25"/>
  <c r="F14" i="25"/>
  <c r="G14" i="25"/>
  <c r="H14" i="25"/>
  <c r="I14" i="25"/>
  <c r="J14" i="25"/>
  <c r="K14" i="25"/>
  <c r="E17" i="25"/>
  <c r="F17" i="25"/>
  <c r="G17" i="25"/>
  <c r="H17" i="25"/>
  <c r="I17" i="25"/>
  <c r="J17" i="25"/>
  <c r="K17" i="25"/>
  <c r="E9" i="25"/>
  <c r="F9" i="25"/>
  <c r="G9" i="25"/>
  <c r="H9" i="25"/>
  <c r="I9" i="25"/>
  <c r="J9" i="25"/>
  <c r="K9" i="25"/>
  <c r="E12" i="25"/>
  <c r="F12" i="25"/>
  <c r="G12" i="25"/>
  <c r="H12" i="25"/>
  <c r="I12" i="25"/>
  <c r="J12" i="25"/>
  <c r="K12" i="25"/>
  <c r="K7" i="25"/>
  <c r="J7" i="25"/>
  <c r="I7" i="25"/>
  <c r="H7" i="25"/>
  <c r="G7" i="25"/>
  <c r="F7" i="25"/>
  <c r="E7" i="25"/>
  <c r="E7" i="24"/>
  <c r="F7" i="24"/>
  <c r="G7" i="24"/>
  <c r="H7" i="24"/>
  <c r="I7" i="24"/>
  <c r="J7" i="24"/>
  <c r="K7" i="24"/>
  <c r="E8" i="24"/>
  <c r="F8" i="24"/>
  <c r="G8" i="24"/>
  <c r="H8" i="24"/>
  <c r="I8" i="24"/>
  <c r="J8" i="24"/>
  <c r="K8" i="24"/>
  <c r="E10" i="24"/>
  <c r="F10" i="24"/>
  <c r="G10" i="24"/>
  <c r="H10" i="24"/>
  <c r="I10" i="24"/>
  <c r="J10" i="24"/>
  <c r="K10" i="24"/>
  <c r="K13" i="24"/>
  <c r="J13" i="24"/>
  <c r="I13" i="24"/>
  <c r="H13" i="24"/>
  <c r="G13" i="24"/>
  <c r="F13" i="24"/>
  <c r="E13" i="24"/>
  <c r="K14" i="23"/>
  <c r="J14" i="23"/>
  <c r="I14" i="23"/>
  <c r="H14" i="23"/>
  <c r="G14" i="23"/>
  <c r="F14" i="23"/>
  <c r="E14" i="23"/>
  <c r="E7" i="22"/>
  <c r="F7" i="22"/>
  <c r="G7" i="22"/>
  <c r="H7" i="22"/>
  <c r="I7" i="22"/>
  <c r="J7" i="22"/>
  <c r="K7" i="22"/>
  <c r="E15" i="22"/>
  <c r="F15" i="22"/>
  <c r="G15" i="22"/>
  <c r="H15" i="22"/>
  <c r="I15" i="22"/>
  <c r="J15" i="22"/>
  <c r="K15" i="22"/>
  <c r="E12" i="22"/>
  <c r="F12" i="22"/>
  <c r="G12" i="22"/>
  <c r="H12" i="22"/>
  <c r="I12" i="22"/>
  <c r="J12" i="22"/>
  <c r="K12" i="22"/>
  <c r="E10" i="22"/>
  <c r="F10" i="22"/>
  <c r="G10" i="22"/>
  <c r="H10" i="22"/>
  <c r="I10" i="22"/>
  <c r="J10" i="22"/>
  <c r="K10" i="22"/>
  <c r="E9" i="22"/>
  <c r="F9" i="22"/>
  <c r="G9" i="22"/>
  <c r="H9" i="22"/>
  <c r="I9" i="22"/>
  <c r="J9" i="22"/>
  <c r="K9" i="22"/>
  <c r="E17" i="22"/>
  <c r="F17" i="22"/>
  <c r="G17" i="22"/>
  <c r="H17" i="22"/>
  <c r="I17" i="22"/>
  <c r="J17" i="22"/>
  <c r="K17" i="22"/>
  <c r="E13" i="22"/>
  <c r="F13" i="22"/>
  <c r="G13" i="22"/>
  <c r="H13" i="22"/>
  <c r="I13" i="22"/>
  <c r="J13" i="22"/>
  <c r="K13" i="22"/>
  <c r="E8" i="22"/>
  <c r="F8" i="22"/>
  <c r="G8" i="22"/>
  <c r="H8" i="22"/>
  <c r="I8" i="22"/>
  <c r="J8" i="22"/>
  <c r="K8" i="22"/>
  <c r="E14" i="22"/>
  <c r="F14" i="22"/>
  <c r="G14" i="22"/>
  <c r="H14" i="22"/>
  <c r="I14" i="22"/>
  <c r="J14" i="22"/>
  <c r="K14" i="22"/>
  <c r="K16" i="22"/>
  <c r="J16" i="22"/>
  <c r="I16" i="22"/>
  <c r="H16" i="22"/>
  <c r="G16" i="22"/>
  <c r="F16" i="22"/>
  <c r="F8" i="20"/>
  <c r="G8" i="20"/>
  <c r="H8" i="20"/>
  <c r="I8" i="20"/>
  <c r="J8" i="20"/>
  <c r="K8" i="20"/>
  <c r="F10" i="20"/>
  <c r="G10" i="20"/>
  <c r="H10" i="20"/>
  <c r="I10" i="20"/>
  <c r="J10" i="20"/>
  <c r="K10" i="20"/>
  <c r="F9" i="20"/>
  <c r="G9" i="20"/>
  <c r="H9" i="20"/>
  <c r="I9" i="20"/>
  <c r="J9" i="20"/>
  <c r="K9" i="20"/>
  <c r="K7" i="20"/>
  <c r="J7" i="20"/>
  <c r="I7" i="20"/>
  <c r="H7" i="20"/>
  <c r="G7" i="20"/>
  <c r="F7" i="20"/>
  <c r="J10" i="3"/>
  <c r="K10" i="3"/>
  <c r="J8" i="3"/>
  <c r="K8" i="3"/>
  <c r="J14" i="3"/>
  <c r="K14" i="3"/>
  <c r="J9" i="3"/>
  <c r="K9" i="3"/>
  <c r="J11" i="3"/>
  <c r="K11" i="3"/>
  <c r="J16" i="3"/>
  <c r="K16" i="3"/>
  <c r="J13" i="3"/>
  <c r="K13" i="3"/>
  <c r="J7" i="3"/>
  <c r="K7" i="3"/>
  <c r="J15" i="3"/>
  <c r="K15" i="3"/>
  <c r="K12" i="3"/>
  <c r="J12" i="3"/>
  <c r="I10" i="3"/>
  <c r="I8" i="3"/>
  <c r="I14" i="3"/>
  <c r="I9" i="3"/>
  <c r="I11" i="3"/>
  <c r="I16" i="3"/>
  <c r="I13" i="3"/>
  <c r="I7" i="3"/>
  <c r="I15" i="3"/>
  <c r="I12" i="3"/>
  <c r="H10" i="3"/>
  <c r="H8" i="3"/>
  <c r="H14" i="3"/>
  <c r="H9" i="3"/>
  <c r="H11" i="3"/>
  <c r="H16" i="3"/>
  <c r="H13" i="3"/>
  <c r="H7" i="3"/>
  <c r="H15" i="3"/>
  <c r="H12" i="3"/>
  <c r="G10" i="3"/>
  <c r="G8" i="3"/>
  <c r="G14" i="3"/>
  <c r="G9" i="3"/>
  <c r="G11" i="3"/>
  <c r="G16" i="3"/>
  <c r="G13" i="3"/>
  <c r="G7" i="3"/>
  <c r="G15" i="3"/>
  <c r="F10" i="3"/>
  <c r="F8" i="3"/>
  <c r="F14" i="3"/>
  <c r="F9" i="3"/>
  <c r="F11" i="3"/>
  <c r="F16" i="3"/>
  <c r="F13" i="3"/>
  <c r="F7" i="3"/>
  <c r="F15" i="3"/>
  <c r="G12" i="3"/>
  <c r="F12" i="3"/>
  <c r="E16" i="22"/>
  <c r="E8" i="20"/>
  <c r="E10" i="20"/>
  <c r="E9" i="20"/>
  <c r="E7" i="20"/>
  <c r="E10" i="3"/>
  <c r="E8" i="3"/>
  <c r="E14" i="3"/>
  <c r="E9" i="3"/>
  <c r="E11" i="3"/>
  <c r="E16" i="3"/>
  <c r="E13" i="3"/>
  <c r="E7" i="3"/>
  <c r="E15" i="3"/>
  <c r="E12" i="3"/>
  <c r="B4" i="2"/>
  <c r="D4" i="19"/>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8" i="2"/>
  <c r="M67" i="2"/>
  <c r="M68" i="2"/>
  <c r="M69" i="2"/>
  <c r="M70" i="2"/>
  <c r="M71" i="2"/>
  <c r="M72" i="2"/>
  <c r="M73" i="2"/>
  <c r="M74" i="2"/>
  <c r="M75" i="2"/>
  <c r="M76" i="2"/>
  <c r="M77" i="2"/>
  <c r="CN71" i="19"/>
  <c r="CN72" i="19"/>
  <c r="CN73" i="19"/>
  <c r="CN74" i="19"/>
  <c r="CN75" i="19"/>
  <c r="CN76" i="19"/>
  <c r="CN77" i="19"/>
  <c r="CN78" i="19"/>
  <c r="CN79" i="19"/>
  <c r="CN80"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70" i="19"/>
  <c r="C71" i="19"/>
  <c r="C72" i="19"/>
  <c r="C73" i="19"/>
  <c r="C74" i="19"/>
  <c r="C75" i="19"/>
  <c r="C76" i="19"/>
  <c r="C77" i="19"/>
  <c r="C78" i="19"/>
  <c r="C79" i="19"/>
  <c r="C80" i="19"/>
  <c r="C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70" i="19"/>
  <c r="B71" i="19"/>
  <c r="B72" i="19"/>
  <c r="B73" i="19"/>
  <c r="B74" i="19"/>
  <c r="B75" i="19"/>
  <c r="B76" i="19"/>
  <c r="B77" i="19"/>
  <c r="B78" i="19"/>
  <c r="B79" i="19"/>
  <c r="B80" i="19"/>
  <c r="B11" i="19"/>
  <c r="D12" i="19"/>
  <c r="D13" i="19"/>
  <c r="D14" i="19"/>
  <c r="D15" i="19"/>
  <c r="D11" i="19"/>
  <c r="BS6" i="19"/>
  <c r="BT6" i="19"/>
  <c r="BU6" i="19"/>
  <c r="BV6" i="19"/>
  <c r="BW6" i="19"/>
  <c r="BX6" i="19"/>
  <c r="BY6" i="19"/>
  <c r="BZ6" i="19"/>
  <c r="CA6" i="19"/>
  <c r="CB6" i="19"/>
  <c r="CC6" i="19"/>
  <c r="CD6" i="19"/>
  <c r="M4" i="28"/>
  <c r="B9" i="23" l="1"/>
  <c r="L4" i="25"/>
  <c r="M8" i="2"/>
  <c r="C8" i="17"/>
  <c r="CN26" i="19"/>
  <c r="F6" i="19"/>
  <c r="P5" i="1"/>
  <c r="B10" i="23" l="1"/>
  <c r="Q5" i="1"/>
  <c r="L4" i="33"/>
  <c r="T8" i="33" s="1"/>
  <c r="N34" i="13" s="1"/>
  <c r="O55" i="15" s="1"/>
  <c r="T7" i="33"/>
  <c r="N16" i="13" s="1"/>
  <c r="O25" i="15" s="1"/>
  <c r="Y4" i="33"/>
  <c r="Y3" i="33"/>
  <c r="Y2" i="33"/>
  <c r="B1" i="33"/>
  <c r="S12" i="32"/>
  <c r="W12" i="32" s="1"/>
  <c r="R12" i="32"/>
  <c r="Q12" i="32"/>
  <c r="P12" i="32"/>
  <c r="O12" i="32"/>
  <c r="N12" i="32"/>
  <c r="M12" i="32"/>
  <c r="L12" i="32"/>
  <c r="K12" i="32"/>
  <c r="J12" i="32"/>
  <c r="I12" i="32"/>
  <c r="H12" i="32"/>
  <c r="G12" i="32"/>
  <c r="F12" i="32"/>
  <c r="E12" i="32"/>
  <c r="S11" i="32"/>
  <c r="W10" i="32" s="1"/>
  <c r="R11" i="32"/>
  <c r="Q11" i="32"/>
  <c r="P11" i="32"/>
  <c r="O11" i="32"/>
  <c r="N11" i="32"/>
  <c r="M11" i="32"/>
  <c r="L11" i="32"/>
  <c r="K11" i="32"/>
  <c r="J11" i="32"/>
  <c r="I11" i="32"/>
  <c r="H11" i="32"/>
  <c r="G11" i="32"/>
  <c r="F11" i="32"/>
  <c r="E11" i="32"/>
  <c r="S10" i="32"/>
  <c r="V10" i="32" s="1"/>
  <c r="R10" i="32"/>
  <c r="Q10" i="32"/>
  <c r="P10" i="32"/>
  <c r="O10" i="32"/>
  <c r="N10" i="32"/>
  <c r="M10" i="32"/>
  <c r="L10" i="32"/>
  <c r="K10" i="32"/>
  <c r="J10" i="32"/>
  <c r="I10" i="32"/>
  <c r="H10" i="32"/>
  <c r="G10" i="32"/>
  <c r="F10" i="32"/>
  <c r="E10" i="32"/>
  <c r="S9" i="32"/>
  <c r="W8" i="32" s="1"/>
  <c r="R9" i="32"/>
  <c r="Q9" i="32"/>
  <c r="P9" i="32"/>
  <c r="O9" i="32"/>
  <c r="N9" i="32"/>
  <c r="M9" i="32"/>
  <c r="L9" i="32"/>
  <c r="K9" i="32"/>
  <c r="J9" i="32"/>
  <c r="I9" i="32"/>
  <c r="H9" i="32"/>
  <c r="G9" i="32"/>
  <c r="F9" i="32"/>
  <c r="E9" i="32"/>
  <c r="S8" i="32"/>
  <c r="V8" i="32" s="1"/>
  <c r="R8" i="32"/>
  <c r="Q8" i="32"/>
  <c r="P8" i="32"/>
  <c r="O8" i="32"/>
  <c r="N8" i="32"/>
  <c r="M8" i="32"/>
  <c r="L8" i="32"/>
  <c r="K8" i="32"/>
  <c r="J8" i="32"/>
  <c r="I8" i="32"/>
  <c r="H8" i="32"/>
  <c r="G8" i="32"/>
  <c r="F8" i="32"/>
  <c r="E8" i="32"/>
  <c r="B8" i="32"/>
  <c r="B9" i="32" s="1"/>
  <c r="T7" i="32"/>
  <c r="S7" i="32"/>
  <c r="W7" i="32" s="1"/>
  <c r="R7" i="32"/>
  <c r="Q7" i="32"/>
  <c r="P7" i="32"/>
  <c r="O7" i="32"/>
  <c r="N7" i="32"/>
  <c r="M7" i="32"/>
  <c r="L7" i="32"/>
  <c r="K7" i="32"/>
  <c r="J7" i="32"/>
  <c r="I7" i="32"/>
  <c r="H7" i="32"/>
  <c r="G7" i="32"/>
  <c r="F7" i="32"/>
  <c r="E7" i="32"/>
  <c r="Y4" i="32"/>
  <c r="L4" i="32"/>
  <c r="Y3" i="32"/>
  <c r="Y2" i="32"/>
  <c r="B1" i="32"/>
  <c r="J3" i="13"/>
  <c r="L47" i="13"/>
  <c r="K47" i="13"/>
  <c r="J47" i="13"/>
  <c r="I47" i="13"/>
  <c r="H47" i="13"/>
  <c r="G47" i="13"/>
  <c r="F47" i="13"/>
  <c r="D47" i="13"/>
  <c r="C47" i="13"/>
  <c r="L45" i="13"/>
  <c r="K45" i="13"/>
  <c r="J45" i="13"/>
  <c r="I45" i="13"/>
  <c r="H45" i="13"/>
  <c r="G45" i="13"/>
  <c r="F45" i="13"/>
  <c r="D45" i="13"/>
  <c r="C45" i="13"/>
  <c r="T7" i="25"/>
  <c r="L4" i="20"/>
  <c r="L30" i="16"/>
  <c r="B8" i="28"/>
  <c r="B9" i="28" s="1"/>
  <c r="B10" i="28" s="1"/>
  <c r="B11" i="28" s="1"/>
  <c r="B12" i="28" s="1"/>
  <c r="B13" i="28" s="1"/>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B40" i="28" s="1"/>
  <c r="B41" i="28" s="1"/>
  <c r="B42" i="28" s="1"/>
  <c r="B43" i="28" s="1"/>
  <c r="B44" i="28" s="1"/>
  <c r="B45" i="28" s="1"/>
  <c r="B46" i="28" s="1"/>
  <c r="B47" i="28" s="1"/>
  <c r="B48" i="28" s="1"/>
  <c r="B49" i="28" s="1"/>
  <c r="B50" i="28" s="1"/>
  <c r="B51" i="28" s="1"/>
  <c r="B52" i="28" s="1"/>
  <c r="B53" i="28" s="1"/>
  <c r="B54" i="28" s="1"/>
  <c r="B55" i="28" s="1"/>
  <c r="B56" i="28" s="1"/>
  <c r="B57" i="28" s="1"/>
  <c r="B58" i="28" s="1"/>
  <c r="B59" i="28" s="1"/>
  <c r="B60" i="28" s="1"/>
  <c r="B61" i="28" s="1"/>
  <c r="B62" i="28" s="1"/>
  <c r="B63" i="28" s="1"/>
  <c r="B64" i="28" s="1"/>
  <c r="B65" i="28" s="1"/>
  <c r="B66" i="28" s="1"/>
  <c r="B67" i="28" s="1"/>
  <c r="B68" i="28" s="1"/>
  <c r="B69" i="28" s="1"/>
  <c r="B70" i="28" s="1"/>
  <c r="B71" i="28" s="1"/>
  <c r="B72" i="28" s="1"/>
  <c r="B73" i="28" s="1"/>
  <c r="B74" i="28" s="1"/>
  <c r="B75" i="28" s="1"/>
  <c r="B76" i="28" s="1"/>
  <c r="X4" i="28"/>
  <c r="X3" i="28"/>
  <c r="X2" i="28"/>
  <c r="B1" i="28"/>
  <c r="C8" i="26"/>
  <c r="C9" i="26" s="1"/>
  <c r="C10" i="26" s="1"/>
  <c r="C11" i="26" s="1"/>
  <c r="C12" i="26" s="1"/>
  <c r="C13" i="26" s="1"/>
  <c r="C14" i="26" s="1"/>
  <c r="C15" i="26" s="1"/>
  <c r="C16" i="26" s="1"/>
  <c r="C17" i="26" s="1"/>
  <c r="C18" i="26" s="1"/>
  <c r="C19" i="26" s="1"/>
  <c r="C20" i="26" s="1"/>
  <c r="C21" i="26" s="1"/>
  <c r="C22" i="26" s="1"/>
  <c r="C23" i="26" s="1"/>
  <c r="C24" i="26" s="1"/>
  <c r="C25" i="26" s="1"/>
  <c r="C26" i="26" s="1"/>
  <c r="C27" i="26" s="1"/>
  <c r="C28" i="26" s="1"/>
  <c r="C29" i="26" s="1"/>
  <c r="C30" i="26" s="1"/>
  <c r="C31" i="26" s="1"/>
  <c r="C32" i="26" s="1"/>
  <c r="C33" i="26" s="1"/>
  <c r="C34" i="26" s="1"/>
  <c r="C35" i="26" s="1"/>
  <c r="C36" i="26" s="1"/>
  <c r="C37" i="26" s="1"/>
  <c r="C38" i="26" s="1"/>
  <c r="C39" i="26" s="1"/>
  <c r="F8" i="26" s="1"/>
  <c r="F9" i="26" s="1"/>
  <c r="F10" i="26" s="1"/>
  <c r="F11" i="26" s="1"/>
  <c r="F12" i="26" s="1"/>
  <c r="F13" i="26" s="1"/>
  <c r="F14" i="26" s="1"/>
  <c r="F15" i="26" s="1"/>
  <c r="F16" i="26" s="1"/>
  <c r="F17" i="26" s="1"/>
  <c r="F18" i="26" s="1"/>
  <c r="F19" i="26" s="1"/>
  <c r="F20" i="26" s="1"/>
  <c r="F21" i="26" s="1"/>
  <c r="F22" i="26" s="1"/>
  <c r="F23" i="26" s="1"/>
  <c r="F24" i="26" s="1"/>
  <c r="F25" i="26" s="1"/>
  <c r="F26" i="26" s="1"/>
  <c r="F27" i="26" s="1"/>
  <c r="F28" i="26" s="1"/>
  <c r="F29" i="26" s="1"/>
  <c r="F30" i="26" s="1"/>
  <c r="F31" i="26" s="1"/>
  <c r="F32" i="26" s="1"/>
  <c r="F33" i="26" s="1"/>
  <c r="F34" i="26" s="1"/>
  <c r="F35" i="26" s="1"/>
  <c r="F36" i="26" s="1"/>
  <c r="F37" i="26" s="1"/>
  <c r="C9" i="17"/>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F8" i="17" s="1"/>
  <c r="F9" i="17" s="1"/>
  <c r="F10" i="17" s="1"/>
  <c r="F11" i="17" s="1"/>
  <c r="F12" i="17" s="1"/>
  <c r="F13" i="17" s="1"/>
  <c r="F14" i="17" s="1"/>
  <c r="F15" i="17" s="1"/>
  <c r="F16" i="17" s="1"/>
  <c r="F17" i="17" s="1"/>
  <c r="F18" i="17" s="1"/>
  <c r="F19" i="17" s="1"/>
  <c r="F20" i="17" s="1"/>
  <c r="F21" i="17" s="1"/>
  <c r="F22" i="17" s="1"/>
  <c r="F23" i="17" s="1"/>
  <c r="F24" i="17" s="1"/>
  <c r="F25" i="17" s="1"/>
  <c r="F26" i="17" s="1"/>
  <c r="F27" i="17" s="1"/>
  <c r="F28" i="17" s="1"/>
  <c r="F29" i="17" s="1"/>
  <c r="F30" i="17" s="1"/>
  <c r="F31" i="17" s="1"/>
  <c r="F32" i="17" s="1"/>
  <c r="F33" i="17" s="1"/>
  <c r="F34" i="17" s="1"/>
  <c r="F35" i="17" s="1"/>
  <c r="B1" i="26"/>
  <c r="B1" i="17"/>
  <c r="L4" i="23"/>
  <c r="P8" i="1"/>
  <c r="Q8" i="1" s="1"/>
  <c r="P14" i="1"/>
  <c r="Q14" i="1" s="1"/>
  <c r="L4" i="3"/>
  <c r="T7" i="3" s="1"/>
  <c r="L21" i="16"/>
  <c r="L12" i="16"/>
  <c r="DJ11" i="19"/>
  <c r="DH11" i="19"/>
  <c r="DG11" i="19"/>
  <c r="DF11" i="19"/>
  <c r="DD11" i="19"/>
  <c r="DC11" i="19"/>
  <c r="DB11" i="19"/>
  <c r="DF8" i="19"/>
  <c r="DB8" i="19"/>
  <c r="CX8" i="19"/>
  <c r="CT8" i="19"/>
  <c r="CP8" i="19"/>
  <c r="CL8" i="19"/>
  <c r="BQ6" i="19"/>
  <c r="BP6" i="19"/>
  <c r="BO6" i="19"/>
  <c r="BN6" i="19"/>
  <c r="BM6" i="19"/>
  <c r="BL6" i="19"/>
  <c r="BK6" i="19"/>
  <c r="BJ6" i="19"/>
  <c r="BI6" i="19"/>
  <c r="BH6" i="19"/>
  <c r="BG6" i="19"/>
  <c r="BF6" i="19"/>
  <c r="B7" i="14"/>
  <c r="B8" i="14" s="1"/>
  <c r="B9" i="14" s="1"/>
  <c r="B8" i="25"/>
  <c r="B9" i="25" s="1"/>
  <c r="Y4" i="25"/>
  <c r="Y3" i="25"/>
  <c r="Y2" i="25"/>
  <c r="Z2" i="25" s="1"/>
  <c r="B1" i="25"/>
  <c r="B8" i="24"/>
  <c r="B9" i="24" s="1"/>
  <c r="Y4" i="24"/>
  <c r="L4" i="24"/>
  <c r="Y3" i="24"/>
  <c r="Y2" i="24"/>
  <c r="B1" i="24"/>
  <c r="Y4" i="23"/>
  <c r="T7" i="23"/>
  <c r="N8" i="13" s="1"/>
  <c r="O12" i="15" s="1"/>
  <c r="Y3" i="23"/>
  <c r="Y2" i="23"/>
  <c r="B1" i="23"/>
  <c r="B10" i="22"/>
  <c r="B11" i="22" s="1"/>
  <c r="B12" i="22" s="1"/>
  <c r="Y4" i="22"/>
  <c r="Y3" i="22"/>
  <c r="Y2" i="22"/>
  <c r="B1" i="22"/>
  <c r="B8" i="20"/>
  <c r="B9" i="20" s="1"/>
  <c r="Y4" i="20"/>
  <c r="T7" i="20"/>
  <c r="Y3" i="20"/>
  <c r="Y2" i="20"/>
  <c r="B1" i="20"/>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CN12" i="19"/>
  <c r="CN13" i="19"/>
  <c r="CN14" i="19"/>
  <c r="CN15" i="19"/>
  <c r="CN16" i="19"/>
  <c r="CN17" i="19"/>
  <c r="CN18" i="19"/>
  <c r="CN19" i="19"/>
  <c r="CN20" i="19"/>
  <c r="CN21" i="19"/>
  <c r="CN22" i="19"/>
  <c r="CN23" i="19"/>
  <c r="CN24" i="19"/>
  <c r="CN25" i="19"/>
  <c r="CN27" i="19"/>
  <c r="CN28" i="19"/>
  <c r="CN29" i="19"/>
  <c r="CN30" i="19"/>
  <c r="CN31" i="19"/>
  <c r="CN32" i="19"/>
  <c r="CN33" i="19"/>
  <c r="CN34" i="19"/>
  <c r="CN35" i="19"/>
  <c r="CN36" i="19"/>
  <c r="CN37" i="19"/>
  <c r="CN38" i="19"/>
  <c r="CN39" i="19"/>
  <c r="CN40" i="19"/>
  <c r="CN41" i="19"/>
  <c r="CN42" i="19"/>
  <c r="CN43" i="19"/>
  <c r="CN44" i="19"/>
  <c r="CN45" i="19"/>
  <c r="CN46" i="19"/>
  <c r="CN47" i="19"/>
  <c r="CN48" i="19"/>
  <c r="CN49" i="19"/>
  <c r="CN50" i="19"/>
  <c r="CN51" i="19"/>
  <c r="CN52" i="19"/>
  <c r="CN53" i="19"/>
  <c r="CN54" i="19"/>
  <c r="CN55" i="19"/>
  <c r="CN56" i="19"/>
  <c r="CN57" i="19"/>
  <c r="CN58" i="19"/>
  <c r="CN59" i="19"/>
  <c r="CN60" i="19"/>
  <c r="CN61" i="19"/>
  <c r="CN62" i="19"/>
  <c r="CN63" i="19"/>
  <c r="CN64" i="19"/>
  <c r="CN65" i="19"/>
  <c r="CN66" i="19"/>
  <c r="CN67" i="19"/>
  <c r="CN68" i="19"/>
  <c r="CN69" i="19"/>
  <c r="CN70" i="19"/>
  <c r="CZ11" i="19"/>
  <c r="CY11" i="19"/>
  <c r="CX11" i="19"/>
  <c r="CV11" i="19"/>
  <c r="CU11" i="19"/>
  <c r="CT11" i="19"/>
  <c r="CR11" i="19"/>
  <c r="CQ11" i="19"/>
  <c r="CP11" i="19"/>
  <c r="CN11" i="19"/>
  <c r="CM11" i="19"/>
  <c r="CL11" i="19"/>
  <c r="CI6" i="19"/>
  <c r="CH6" i="19"/>
  <c r="CG6" i="19"/>
  <c r="CF6" i="19"/>
  <c r="BD6" i="19"/>
  <c r="BC6" i="19"/>
  <c r="BB6" i="19"/>
  <c r="BA6" i="19"/>
  <c r="AZ6" i="19"/>
  <c r="AY6" i="19"/>
  <c r="AX6" i="19"/>
  <c r="AW6" i="19"/>
  <c r="AV6" i="19"/>
  <c r="AU6" i="19"/>
  <c r="AT6" i="19"/>
  <c r="AS6" i="19"/>
  <c r="AQ6" i="19"/>
  <c r="AP6" i="19"/>
  <c r="AO6" i="19"/>
  <c r="AN6" i="19"/>
  <c r="AM6" i="19"/>
  <c r="AL6" i="19"/>
  <c r="AK6" i="19"/>
  <c r="AJ6" i="19"/>
  <c r="AI6" i="19"/>
  <c r="AH6" i="19"/>
  <c r="AG6" i="19"/>
  <c r="AF6" i="19"/>
  <c r="AD6" i="19"/>
  <c r="AC6" i="19"/>
  <c r="AB6" i="19"/>
  <c r="AA6" i="19"/>
  <c r="Z6" i="19"/>
  <c r="Y6" i="19"/>
  <c r="X6" i="19"/>
  <c r="W6" i="19"/>
  <c r="V6" i="19"/>
  <c r="U6" i="19"/>
  <c r="T6" i="19"/>
  <c r="S6" i="19"/>
  <c r="Q6" i="19"/>
  <c r="P6" i="19"/>
  <c r="O6" i="19"/>
  <c r="N6" i="19"/>
  <c r="M6" i="19"/>
  <c r="L6" i="19"/>
  <c r="K6" i="19"/>
  <c r="J6" i="19"/>
  <c r="I6" i="19"/>
  <c r="H6" i="19"/>
  <c r="G6" i="19"/>
  <c r="B1" i="19"/>
  <c r="O6" i="13" l="1"/>
  <c r="T7" i="24"/>
  <c r="T8" i="23"/>
  <c r="T9" i="23"/>
  <c r="B11" i="23"/>
  <c r="T10" i="23"/>
  <c r="N10" i="13" s="1"/>
  <c r="O16" i="15" s="1"/>
  <c r="T10" i="20"/>
  <c r="N13" i="12" s="1"/>
  <c r="O41" i="15" s="1"/>
  <c r="N9" i="2"/>
  <c r="N67" i="2"/>
  <c r="O67" i="2"/>
  <c r="Q67" i="2"/>
  <c r="S67" i="2"/>
  <c r="T67" i="2"/>
  <c r="V67" i="2"/>
  <c r="X67" i="2"/>
  <c r="Y67" i="2"/>
  <c r="AA67" i="2"/>
  <c r="AC67" i="2"/>
  <c r="AD67" i="2"/>
  <c r="AF67" i="2"/>
  <c r="AH67" i="2"/>
  <c r="AI67" i="2"/>
  <c r="AK67" i="2"/>
  <c r="AM67" i="2"/>
  <c r="AN67" i="2"/>
  <c r="AP67" i="2"/>
  <c r="AR67" i="2"/>
  <c r="N68" i="2"/>
  <c r="O68" i="2"/>
  <c r="Q68" i="2"/>
  <c r="S68" i="2"/>
  <c r="T68" i="2"/>
  <c r="V68" i="2"/>
  <c r="X68" i="2"/>
  <c r="Y68" i="2"/>
  <c r="AA68" i="2"/>
  <c r="AC68" i="2"/>
  <c r="AD68" i="2"/>
  <c r="AF68" i="2"/>
  <c r="AH68" i="2"/>
  <c r="AI68" i="2"/>
  <c r="AK68" i="2"/>
  <c r="AM68" i="2"/>
  <c r="AN68" i="2"/>
  <c r="AP68" i="2"/>
  <c r="AR68" i="2"/>
  <c r="N69" i="2"/>
  <c r="O69" i="2"/>
  <c r="Q69" i="2"/>
  <c r="S69" i="2"/>
  <c r="T69" i="2"/>
  <c r="V69" i="2"/>
  <c r="X69" i="2"/>
  <c r="Y69" i="2"/>
  <c r="AA69" i="2"/>
  <c r="AC69" i="2"/>
  <c r="AD69" i="2"/>
  <c r="AF69" i="2"/>
  <c r="AH69" i="2"/>
  <c r="AI69" i="2"/>
  <c r="AK69" i="2"/>
  <c r="AM69" i="2"/>
  <c r="AN69" i="2"/>
  <c r="AP69" i="2"/>
  <c r="AR69" i="2"/>
  <c r="N70" i="2"/>
  <c r="O70" i="2"/>
  <c r="Q70" i="2"/>
  <c r="S70" i="2"/>
  <c r="T70" i="2"/>
  <c r="V70" i="2"/>
  <c r="X70" i="2"/>
  <c r="Y70" i="2"/>
  <c r="AA70" i="2"/>
  <c r="AC70" i="2"/>
  <c r="AD70" i="2"/>
  <c r="AF70" i="2"/>
  <c r="AH70" i="2"/>
  <c r="AI70" i="2"/>
  <c r="AK70" i="2"/>
  <c r="AM70" i="2"/>
  <c r="AN70" i="2"/>
  <c r="AP70" i="2"/>
  <c r="AR70" i="2"/>
  <c r="N71" i="2"/>
  <c r="O71" i="2"/>
  <c r="Q71" i="2"/>
  <c r="S71" i="2"/>
  <c r="T71" i="2"/>
  <c r="V71" i="2"/>
  <c r="X71" i="2"/>
  <c r="Y71" i="2"/>
  <c r="AA71" i="2"/>
  <c r="AC71" i="2"/>
  <c r="AD71" i="2"/>
  <c r="AF71" i="2"/>
  <c r="AH71" i="2"/>
  <c r="AI71" i="2"/>
  <c r="AK71" i="2"/>
  <c r="AM71" i="2"/>
  <c r="AN71" i="2"/>
  <c r="AP71" i="2"/>
  <c r="AR71" i="2"/>
  <c r="N72" i="2"/>
  <c r="O72" i="2"/>
  <c r="Q72" i="2"/>
  <c r="S72" i="2"/>
  <c r="T72" i="2"/>
  <c r="V72" i="2"/>
  <c r="X72" i="2"/>
  <c r="Y72" i="2"/>
  <c r="AA72" i="2"/>
  <c r="AC72" i="2"/>
  <c r="AD72" i="2"/>
  <c r="AF72" i="2"/>
  <c r="AH72" i="2"/>
  <c r="AI72" i="2"/>
  <c r="AK72" i="2"/>
  <c r="AM72" i="2"/>
  <c r="AN72" i="2"/>
  <c r="AP72" i="2"/>
  <c r="AR72" i="2"/>
  <c r="N73" i="2"/>
  <c r="O73" i="2"/>
  <c r="Q73" i="2"/>
  <c r="S73" i="2"/>
  <c r="T73" i="2"/>
  <c r="V73" i="2"/>
  <c r="X73" i="2"/>
  <c r="Y73" i="2"/>
  <c r="AA73" i="2"/>
  <c r="AC73" i="2"/>
  <c r="AD73" i="2"/>
  <c r="AF73" i="2"/>
  <c r="AH73" i="2"/>
  <c r="AI73" i="2"/>
  <c r="AK73" i="2"/>
  <c r="AM73" i="2"/>
  <c r="AN73" i="2"/>
  <c r="AP73" i="2"/>
  <c r="AR73" i="2"/>
  <c r="N74" i="2"/>
  <c r="O74" i="2"/>
  <c r="Q74" i="2"/>
  <c r="S74" i="2"/>
  <c r="T74" i="2"/>
  <c r="V74" i="2"/>
  <c r="X74" i="2"/>
  <c r="Y74" i="2"/>
  <c r="AA74" i="2"/>
  <c r="AC74" i="2"/>
  <c r="AD74" i="2"/>
  <c r="AF74" i="2"/>
  <c r="AH74" i="2"/>
  <c r="AI74" i="2"/>
  <c r="AK74" i="2"/>
  <c r="AM74" i="2"/>
  <c r="AN74" i="2"/>
  <c r="AP74" i="2"/>
  <c r="AR74" i="2"/>
  <c r="N75" i="2"/>
  <c r="O75" i="2"/>
  <c r="Q75" i="2"/>
  <c r="S75" i="2"/>
  <c r="T75" i="2"/>
  <c r="V75" i="2"/>
  <c r="X75" i="2"/>
  <c r="Y75" i="2"/>
  <c r="AA75" i="2"/>
  <c r="AC75" i="2"/>
  <c r="AD75" i="2"/>
  <c r="AF75" i="2"/>
  <c r="AH75" i="2"/>
  <c r="AI75" i="2"/>
  <c r="AK75" i="2"/>
  <c r="AM75" i="2"/>
  <c r="AN75" i="2"/>
  <c r="AP75" i="2"/>
  <c r="AR75" i="2"/>
  <c r="N76" i="2"/>
  <c r="O76" i="2"/>
  <c r="Q76" i="2"/>
  <c r="S76" i="2"/>
  <c r="T76" i="2"/>
  <c r="V76" i="2"/>
  <c r="X76" i="2"/>
  <c r="Y76" i="2"/>
  <c r="AA76" i="2"/>
  <c r="AC76" i="2"/>
  <c r="AD76" i="2"/>
  <c r="AF76" i="2"/>
  <c r="AH76" i="2"/>
  <c r="AI76" i="2"/>
  <c r="AK76" i="2"/>
  <c r="AM76" i="2"/>
  <c r="AN76" i="2"/>
  <c r="AP76" i="2"/>
  <c r="AR76" i="2"/>
  <c r="N77" i="2"/>
  <c r="O77" i="2"/>
  <c r="Q77" i="2"/>
  <c r="S77" i="2"/>
  <c r="T77" i="2"/>
  <c r="V77" i="2"/>
  <c r="X77" i="2"/>
  <c r="Y77" i="2"/>
  <c r="AA77" i="2"/>
  <c r="AC77" i="2"/>
  <c r="AD77" i="2"/>
  <c r="AF77" i="2"/>
  <c r="AH77" i="2"/>
  <c r="AI77" i="2"/>
  <c r="AK77" i="2"/>
  <c r="AM77" i="2"/>
  <c r="AN77" i="2"/>
  <c r="AP77" i="2"/>
  <c r="AR77" i="2"/>
  <c r="AM8" i="2"/>
  <c r="AP9" i="2"/>
  <c r="AN11" i="2"/>
  <c r="AM12" i="2"/>
  <c r="AP13" i="2"/>
  <c r="AN15" i="2"/>
  <c r="AM16" i="2"/>
  <c r="AP17" i="2"/>
  <c r="AN19" i="2"/>
  <c r="AM20" i="2"/>
  <c r="AN22" i="2"/>
  <c r="AM23" i="2"/>
  <c r="AP24" i="2"/>
  <c r="AN26" i="2"/>
  <c r="AM27" i="2"/>
  <c r="AP28" i="2"/>
  <c r="AN30" i="2"/>
  <c r="AM31" i="2"/>
  <c r="AP32" i="2"/>
  <c r="AN34" i="2"/>
  <c r="AM35" i="2"/>
  <c r="AP36" i="2"/>
  <c r="AN38" i="2"/>
  <c r="AM39" i="2"/>
  <c r="AP40" i="2"/>
  <c r="AN42" i="2"/>
  <c r="AM43" i="2"/>
  <c r="AP44" i="2"/>
  <c r="AN46" i="2"/>
  <c r="AM47" i="2"/>
  <c r="AP48" i="2"/>
  <c r="AN50" i="2"/>
  <c r="AM51" i="2"/>
  <c r="AP52" i="2"/>
  <c r="AN54" i="2"/>
  <c r="AM55" i="2"/>
  <c r="AP56" i="2"/>
  <c r="AN58" i="2"/>
  <c r="AM59" i="2"/>
  <c r="AP60" i="2"/>
  <c r="AN62" i="2"/>
  <c r="AM63" i="2"/>
  <c r="AP64" i="2"/>
  <c r="AN66" i="2"/>
  <c r="AM11" i="2"/>
  <c r="AN14" i="2"/>
  <c r="AM19" i="2"/>
  <c r="AP20" i="2"/>
  <c r="AM26" i="2"/>
  <c r="AP27" i="2"/>
  <c r="AN8" i="2"/>
  <c r="AM9" i="2"/>
  <c r="AP10" i="2"/>
  <c r="AN12" i="2"/>
  <c r="AM13" i="2"/>
  <c r="AP14" i="2"/>
  <c r="AN16" i="2"/>
  <c r="AM17" i="2"/>
  <c r="AP18" i="2"/>
  <c r="AN20" i="2"/>
  <c r="AP21" i="2"/>
  <c r="AN23" i="2"/>
  <c r="AM24" i="2"/>
  <c r="AP25" i="2"/>
  <c r="AN27" i="2"/>
  <c r="AM28" i="2"/>
  <c r="AP29" i="2"/>
  <c r="AN31" i="2"/>
  <c r="AM32" i="2"/>
  <c r="AP33" i="2"/>
  <c r="AN35" i="2"/>
  <c r="AM36" i="2"/>
  <c r="AP37" i="2"/>
  <c r="AN39" i="2"/>
  <c r="AM40" i="2"/>
  <c r="AP41" i="2"/>
  <c r="AN43" i="2"/>
  <c r="AM44" i="2"/>
  <c r="AP45" i="2"/>
  <c r="AN47" i="2"/>
  <c r="AM48" i="2"/>
  <c r="AP49" i="2"/>
  <c r="AN51" i="2"/>
  <c r="AM52" i="2"/>
  <c r="AP53" i="2"/>
  <c r="AN55" i="2"/>
  <c r="AM56" i="2"/>
  <c r="AP57" i="2"/>
  <c r="AN59" i="2"/>
  <c r="AM60" i="2"/>
  <c r="AP61" i="2"/>
  <c r="AN63" i="2"/>
  <c r="AM64" i="2"/>
  <c r="AP65" i="2"/>
  <c r="AN10" i="2"/>
  <c r="AP12" i="2"/>
  <c r="AP16" i="2"/>
  <c r="AN21" i="2"/>
  <c r="AP23" i="2"/>
  <c r="AN29" i="2"/>
  <c r="AN9" i="2"/>
  <c r="AM10" i="2"/>
  <c r="AP11" i="2"/>
  <c r="AN13" i="2"/>
  <c r="AM14" i="2"/>
  <c r="AP15" i="2"/>
  <c r="AN17" i="2"/>
  <c r="AM18" i="2"/>
  <c r="AP19" i="2"/>
  <c r="AM21" i="2"/>
  <c r="AP22" i="2"/>
  <c r="AN24" i="2"/>
  <c r="AM25" i="2"/>
  <c r="AP26" i="2"/>
  <c r="AN28" i="2"/>
  <c r="AM29" i="2"/>
  <c r="AP30" i="2"/>
  <c r="AN32" i="2"/>
  <c r="AM33" i="2"/>
  <c r="AP34" i="2"/>
  <c r="AN36" i="2"/>
  <c r="AM37" i="2"/>
  <c r="AP38" i="2"/>
  <c r="AN40" i="2"/>
  <c r="AM41" i="2"/>
  <c r="AP42" i="2"/>
  <c r="AN44" i="2"/>
  <c r="AM45" i="2"/>
  <c r="AP46" i="2"/>
  <c r="AN48" i="2"/>
  <c r="AM49" i="2"/>
  <c r="AP50" i="2"/>
  <c r="AN52" i="2"/>
  <c r="AM53" i="2"/>
  <c r="AP54" i="2"/>
  <c r="AN56" i="2"/>
  <c r="AM57" i="2"/>
  <c r="AP58" i="2"/>
  <c r="AN60" i="2"/>
  <c r="AM61" i="2"/>
  <c r="AP62" i="2"/>
  <c r="AN64" i="2"/>
  <c r="AM65" i="2"/>
  <c r="AP66" i="2"/>
  <c r="AP8" i="2"/>
  <c r="AM15" i="2"/>
  <c r="AN18" i="2"/>
  <c r="AM22" i="2"/>
  <c r="AN25" i="2"/>
  <c r="AM30" i="2"/>
  <c r="AP35" i="2"/>
  <c r="AM42" i="2"/>
  <c r="AN45" i="2"/>
  <c r="AP51" i="2"/>
  <c r="AM58" i="2"/>
  <c r="AN61" i="2"/>
  <c r="AM38" i="2"/>
  <c r="AP47" i="2"/>
  <c r="AN57" i="2"/>
  <c r="AN33" i="2"/>
  <c r="AP39" i="2"/>
  <c r="AM46" i="2"/>
  <c r="AN49" i="2"/>
  <c r="AP55" i="2"/>
  <c r="AM62" i="2"/>
  <c r="AN65" i="2"/>
  <c r="AM34" i="2"/>
  <c r="AN37" i="2"/>
  <c r="AP43" i="2"/>
  <c r="AM50" i="2"/>
  <c r="AN53" i="2"/>
  <c r="AP59" i="2"/>
  <c r="AM66" i="2"/>
  <c r="AP31" i="2"/>
  <c r="AN41" i="2"/>
  <c r="AM54" i="2"/>
  <c r="AP63" i="2"/>
  <c r="Z3" i="25"/>
  <c r="T8" i="22"/>
  <c r="N13" i="13" s="1"/>
  <c r="O19" i="15" s="1"/>
  <c r="T7" i="22"/>
  <c r="N9" i="13" s="1"/>
  <c r="O15" i="15" s="1"/>
  <c r="T9" i="22"/>
  <c r="N17" i="13" s="1"/>
  <c r="O26" i="15" s="1"/>
  <c r="Z2" i="33"/>
  <c r="AR12" i="2"/>
  <c r="AC11" i="2"/>
  <c r="Z2" i="32"/>
  <c r="Z3" i="32" s="1"/>
  <c r="Z4" i="32" s="1"/>
  <c r="T8" i="32"/>
  <c r="C7" i="32"/>
  <c r="V7" i="32"/>
  <c r="V9" i="32"/>
  <c r="V11" i="32"/>
  <c r="W9" i="32"/>
  <c r="W11" i="32"/>
  <c r="B10" i="32"/>
  <c r="T9" i="32"/>
  <c r="C8" i="32"/>
  <c r="V12" i="32"/>
  <c r="X66" i="2"/>
  <c r="S65" i="2"/>
  <c r="AA64" i="2"/>
  <c r="N64" i="2"/>
  <c r="Y61" i="2"/>
  <c r="T60" i="2"/>
  <c r="O59" i="2"/>
  <c r="X58" i="2"/>
  <c r="S57" i="2"/>
  <c r="N56" i="2"/>
  <c r="Y53" i="2"/>
  <c r="T52" i="2"/>
  <c r="O51" i="2"/>
  <c r="X50" i="2"/>
  <c r="AF49" i="2"/>
  <c r="S49" i="2"/>
  <c r="N48" i="2"/>
  <c r="Y45" i="2"/>
  <c r="T44" i="2"/>
  <c r="O43" i="2"/>
  <c r="X42" i="2"/>
  <c r="S41" i="2"/>
  <c r="N40" i="2"/>
  <c r="Y37" i="2"/>
  <c r="Q13" i="2"/>
  <c r="AF12" i="2"/>
  <c r="S15" i="2"/>
  <c r="N14" i="2"/>
  <c r="V13" i="2"/>
  <c r="Y11" i="2"/>
  <c r="T36" i="2"/>
  <c r="O35" i="2"/>
  <c r="X34" i="2"/>
  <c r="S33" i="2"/>
  <c r="N32" i="2"/>
  <c r="Y29" i="2"/>
  <c r="T28" i="2"/>
  <c r="O27" i="2"/>
  <c r="X26" i="2"/>
  <c r="S25" i="2"/>
  <c r="N24" i="2"/>
  <c r="AD22" i="2"/>
  <c r="Y21" i="2"/>
  <c r="O20" i="2"/>
  <c r="X19" i="2"/>
  <c r="S18" i="2"/>
  <c r="AA17" i="2"/>
  <c r="N17" i="2"/>
  <c r="Y14" i="2"/>
  <c r="AR13" i="2"/>
  <c r="T13" i="2"/>
  <c r="O12" i="2"/>
  <c r="X11" i="2"/>
  <c r="AC41" i="2"/>
  <c r="V53" i="2"/>
  <c r="V31" i="2"/>
  <c r="T9" i="24"/>
  <c r="T12" i="22"/>
  <c r="N23" i="13" s="1"/>
  <c r="O34" i="15" s="1"/>
  <c r="Q56" i="2"/>
  <c r="Q42" i="2"/>
  <c r="Q16" i="2"/>
  <c r="AA21" i="2"/>
  <c r="AC45" i="2"/>
  <c r="Y64" i="2"/>
  <c r="T63" i="2"/>
  <c r="O62" i="2"/>
  <c r="X61" i="2"/>
  <c r="S60" i="2"/>
  <c r="N59" i="2"/>
  <c r="Y56" i="2"/>
  <c r="T55" i="2"/>
  <c r="O54" i="2"/>
  <c r="X53" i="2"/>
  <c r="S52" i="2"/>
  <c r="N51" i="2"/>
  <c r="V50" i="2"/>
  <c r="Y48" i="2"/>
  <c r="T47" i="2"/>
  <c r="O46" i="2"/>
  <c r="X45" i="2"/>
  <c r="S44" i="2"/>
  <c r="N43" i="2"/>
  <c r="Y40" i="2"/>
  <c r="T39" i="2"/>
  <c r="O38" i="2"/>
  <c r="X37" i="2"/>
  <c r="S36" i="2"/>
  <c r="N35" i="2"/>
  <c r="Y32" i="2"/>
  <c r="T31" i="2"/>
  <c r="O30" i="2"/>
  <c r="X29" i="2"/>
  <c r="S28" i="2"/>
  <c r="N27" i="2"/>
  <c r="Y24" i="2"/>
  <c r="T23" i="2"/>
  <c r="O22" i="2"/>
  <c r="X21" i="2"/>
  <c r="N20" i="2"/>
  <c r="Y17" i="2"/>
  <c r="T16" i="2"/>
  <c r="O15" i="2"/>
  <c r="X14" i="2"/>
  <c r="AF13" i="2"/>
  <c r="S13" i="2"/>
  <c r="N12" i="2"/>
  <c r="Y9" i="2"/>
  <c r="V12" i="2"/>
  <c r="Q53" i="2"/>
  <c r="Q47" i="2"/>
  <c r="V44" i="2"/>
  <c r="Q39" i="2"/>
  <c r="V36" i="2"/>
  <c r="Q31" i="2"/>
  <c r="V28" i="2"/>
  <c r="Q23" i="2"/>
  <c r="V66" i="2"/>
  <c r="Q63" i="2"/>
  <c r="Q60" i="2"/>
  <c r="AK41" i="2"/>
  <c r="AA12" i="2"/>
  <c r="Q34" i="2"/>
  <c r="V63" i="2"/>
  <c r="AK49" i="2"/>
  <c r="T66" i="2"/>
  <c r="O65" i="2"/>
  <c r="X64" i="2"/>
  <c r="S63" i="2"/>
  <c r="N62" i="2"/>
  <c r="Y59" i="2"/>
  <c r="T58" i="2"/>
  <c r="O57" i="2"/>
  <c r="X56" i="2"/>
  <c r="S55" i="2"/>
  <c r="N54" i="2"/>
  <c r="Y51" i="2"/>
  <c r="AR50" i="2"/>
  <c r="T50" i="2"/>
  <c r="O49" i="2"/>
  <c r="X48" i="2"/>
  <c r="S47" i="2"/>
  <c r="N46" i="2"/>
  <c r="Y43" i="2"/>
  <c r="T42" i="2"/>
  <c r="O41" i="2"/>
  <c r="X40" i="2"/>
  <c r="S39" i="2"/>
  <c r="N38" i="2"/>
  <c r="Y35" i="2"/>
  <c r="T34" i="2"/>
  <c r="O33" i="2"/>
  <c r="X32" i="2"/>
  <c r="S31" i="2"/>
  <c r="N30" i="2"/>
  <c r="Y27" i="2"/>
  <c r="T26" i="2"/>
  <c r="O25" i="2"/>
  <c r="X24" i="2"/>
  <c r="S23" i="2"/>
  <c r="N22" i="2"/>
  <c r="Y20" i="2"/>
  <c r="T19" i="2"/>
  <c r="O18" i="2"/>
  <c r="X17" i="2"/>
  <c r="S16" i="2"/>
  <c r="N15" i="2"/>
  <c r="Y12" i="2"/>
  <c r="X9" i="2"/>
  <c r="AR11" i="2"/>
  <c r="AD11" i="2"/>
  <c r="AD15" i="2"/>
  <c r="AD19" i="2"/>
  <c r="AD25" i="2"/>
  <c r="AD29" i="2"/>
  <c r="AD33" i="2"/>
  <c r="AD37" i="2"/>
  <c r="AD41" i="2"/>
  <c r="AD45" i="2"/>
  <c r="AD49" i="2"/>
  <c r="AD53" i="2"/>
  <c r="AD57" i="2"/>
  <c r="AD61" i="2"/>
  <c r="AD65" i="2"/>
  <c r="AF14" i="2"/>
  <c r="AF22" i="2"/>
  <c r="AF30" i="2"/>
  <c r="AF38" i="2"/>
  <c r="AF46" i="2"/>
  <c r="AF56" i="2"/>
  <c r="AF65" i="2"/>
  <c r="AA14" i="2"/>
  <c r="AA22" i="2"/>
  <c r="AA30" i="2"/>
  <c r="AA38" i="2"/>
  <c r="AA46" i="2"/>
  <c r="AA55" i="2"/>
  <c r="AA63" i="2"/>
  <c r="AR14" i="2"/>
  <c r="AR22" i="2"/>
  <c r="AR32" i="2"/>
  <c r="AR40" i="2"/>
  <c r="AR48" i="2"/>
  <c r="AR57" i="2"/>
  <c r="AR66" i="2"/>
  <c r="AK19" i="2"/>
  <c r="AK26" i="2"/>
  <c r="AK34" i="2"/>
  <c r="AK42" i="2"/>
  <c r="AK51" i="2"/>
  <c r="AK59" i="2"/>
  <c r="Y49" i="2"/>
  <c r="AC12" i="2"/>
  <c r="AC16" i="2"/>
  <c r="AC20" i="2"/>
  <c r="AC26" i="2"/>
  <c r="AC30" i="2"/>
  <c r="AC34" i="2"/>
  <c r="AC38" i="2"/>
  <c r="AC42" i="2"/>
  <c r="AC46" i="2"/>
  <c r="AC50" i="2"/>
  <c r="AC54" i="2"/>
  <c r="AC58" i="2"/>
  <c r="AC62" i="2"/>
  <c r="AC66" i="2"/>
  <c r="AF15" i="2"/>
  <c r="AF23" i="2"/>
  <c r="AF31" i="2"/>
  <c r="AF39" i="2"/>
  <c r="AF47" i="2"/>
  <c r="AF57" i="2"/>
  <c r="AF66" i="2"/>
  <c r="AA15" i="2"/>
  <c r="AA23" i="2"/>
  <c r="AA31" i="2"/>
  <c r="AA39" i="2"/>
  <c r="AA47" i="2"/>
  <c r="AA56" i="2"/>
  <c r="AA65" i="2"/>
  <c r="AR15" i="2"/>
  <c r="AR23" i="2"/>
  <c r="AR33" i="2"/>
  <c r="AR41" i="2"/>
  <c r="AR49" i="2"/>
  <c r="AR58" i="2"/>
  <c r="AK20" i="2"/>
  <c r="AK27" i="2"/>
  <c r="AK35" i="2"/>
  <c r="AK43" i="2"/>
  <c r="AK52" i="2"/>
  <c r="AK60" i="2"/>
  <c r="Y50" i="2"/>
  <c r="AD12" i="2"/>
  <c r="AD16" i="2"/>
  <c r="AD26" i="2"/>
  <c r="AD30" i="2"/>
  <c r="AD34" i="2"/>
  <c r="AD38" i="2"/>
  <c r="AD42" i="2"/>
  <c r="AD46" i="2"/>
  <c r="AD50" i="2"/>
  <c r="AD54" i="2"/>
  <c r="AD58" i="2"/>
  <c r="AD62" i="2"/>
  <c r="AF16" i="2"/>
  <c r="AF24" i="2"/>
  <c r="AF32" i="2"/>
  <c r="AF40" i="2"/>
  <c r="AF48" i="2"/>
  <c r="AF58" i="2"/>
  <c r="AA16" i="2"/>
  <c r="AA24" i="2"/>
  <c r="AA32" i="2"/>
  <c r="AA40" i="2"/>
  <c r="AA48" i="2"/>
  <c r="AA57" i="2"/>
  <c r="AA66" i="2"/>
  <c r="AR16" i="2"/>
  <c r="AR26" i="2"/>
  <c r="AR34" i="2"/>
  <c r="AR42" i="2"/>
  <c r="AR51" i="2"/>
  <c r="AR59" i="2"/>
  <c r="AK28" i="2"/>
  <c r="AK36" i="2"/>
  <c r="AK44" i="2"/>
  <c r="AK53" i="2"/>
  <c r="AK61" i="2"/>
  <c r="AC9" i="2"/>
  <c r="AC13" i="2"/>
  <c r="AC17" i="2"/>
  <c r="AC21" i="2"/>
  <c r="AC27" i="2"/>
  <c r="AC31" i="2"/>
  <c r="AC35" i="2"/>
  <c r="AC39" i="2"/>
  <c r="AC43" i="2"/>
  <c r="AC47" i="2"/>
  <c r="AC51" i="2"/>
  <c r="AC55" i="2"/>
  <c r="AC59" i="2"/>
  <c r="AC63" i="2"/>
  <c r="AF18" i="2"/>
  <c r="AF25" i="2"/>
  <c r="AF33" i="2"/>
  <c r="AF41" i="2"/>
  <c r="AF51" i="2"/>
  <c r="AF59" i="2"/>
  <c r="AA18" i="2"/>
  <c r="AA25" i="2"/>
  <c r="AA33" i="2"/>
  <c r="AA41" i="2"/>
  <c r="AA49" i="2"/>
  <c r="AA58" i="2"/>
  <c r="AR18" i="2"/>
  <c r="AR27" i="2"/>
  <c r="AR35" i="2"/>
  <c r="AR43" i="2"/>
  <c r="AR52" i="2"/>
  <c r="AR60" i="2"/>
  <c r="AK12" i="2"/>
  <c r="AK21" i="2"/>
  <c r="AK29" i="2"/>
  <c r="AK37" i="2"/>
  <c r="AK45" i="2"/>
  <c r="AK54" i="2"/>
  <c r="AK62" i="2"/>
  <c r="V61" i="2"/>
  <c r="AD9" i="2"/>
  <c r="AD13" i="2"/>
  <c r="AD17" i="2"/>
  <c r="AC22" i="2"/>
  <c r="AD27" i="2"/>
  <c r="AD31" i="2"/>
  <c r="AE31" i="2" s="1"/>
  <c r="AD35" i="2"/>
  <c r="AD39" i="2"/>
  <c r="AD43" i="2"/>
  <c r="AD47" i="2"/>
  <c r="AD51" i="2"/>
  <c r="AD55" i="2"/>
  <c r="AD59" i="2"/>
  <c r="AD63" i="2"/>
  <c r="P32" i="28" s="1"/>
  <c r="AF9" i="2"/>
  <c r="AF19" i="2"/>
  <c r="AF26" i="2"/>
  <c r="AF34" i="2"/>
  <c r="AF42" i="2"/>
  <c r="AF52" i="2"/>
  <c r="AF60" i="2"/>
  <c r="AA9" i="2"/>
  <c r="AA19" i="2"/>
  <c r="AA26" i="2"/>
  <c r="AA34" i="2"/>
  <c r="AA42" i="2"/>
  <c r="AA51" i="2"/>
  <c r="AA59" i="2"/>
  <c r="AR19" i="2"/>
  <c r="AR28" i="2"/>
  <c r="AR36" i="2"/>
  <c r="AR44" i="2"/>
  <c r="AR53" i="2"/>
  <c r="AR61" i="2"/>
  <c r="AK14" i="2"/>
  <c r="AK22" i="2"/>
  <c r="AK30" i="2"/>
  <c r="AK38" i="2"/>
  <c r="AK46" i="2"/>
  <c r="AK55" i="2"/>
  <c r="AK63" i="2"/>
  <c r="Q59" i="2"/>
  <c r="AC10" i="2"/>
  <c r="AC14" i="2"/>
  <c r="AC18" i="2"/>
  <c r="AC23" i="2"/>
  <c r="AC28" i="2"/>
  <c r="AC32" i="2"/>
  <c r="AC36" i="2"/>
  <c r="AC40" i="2"/>
  <c r="AC44" i="2"/>
  <c r="AC48" i="2"/>
  <c r="AC52" i="2"/>
  <c r="AC56" i="2"/>
  <c r="AC60" i="2"/>
  <c r="AC64" i="2"/>
  <c r="AF10" i="2"/>
  <c r="AF20" i="2"/>
  <c r="AF27" i="2"/>
  <c r="AF35" i="2"/>
  <c r="AF43" i="2"/>
  <c r="AF53" i="2"/>
  <c r="AF61" i="2"/>
  <c r="AA10" i="2"/>
  <c r="AA20" i="2"/>
  <c r="AA27" i="2"/>
  <c r="AA35" i="2"/>
  <c r="AA43" i="2"/>
  <c r="AA52" i="2"/>
  <c r="AA60" i="2"/>
  <c r="AR20" i="2"/>
  <c r="AR29" i="2"/>
  <c r="AR37" i="2"/>
  <c r="AR45" i="2"/>
  <c r="AR54" i="2"/>
  <c r="AR62" i="2"/>
  <c r="AK15" i="2"/>
  <c r="AK23" i="2"/>
  <c r="AK31" i="2"/>
  <c r="AK39" i="2"/>
  <c r="AK47" i="2"/>
  <c r="AK56" i="2"/>
  <c r="AK65" i="2"/>
  <c r="V59" i="2"/>
  <c r="AD10" i="2"/>
  <c r="AD14" i="2"/>
  <c r="AD18" i="2"/>
  <c r="AC24" i="2"/>
  <c r="AD28" i="2"/>
  <c r="AD32" i="2"/>
  <c r="AD36" i="2"/>
  <c r="AD40" i="2"/>
  <c r="AD44" i="2"/>
  <c r="AD48" i="2"/>
  <c r="AD52" i="2"/>
  <c r="AD56" i="2"/>
  <c r="AD60" i="2"/>
  <c r="AD64" i="2"/>
  <c r="AF11" i="2"/>
  <c r="AF28" i="2"/>
  <c r="AF36" i="2"/>
  <c r="AF44" i="2"/>
  <c r="AF54" i="2"/>
  <c r="AF62" i="2"/>
  <c r="AA11" i="2"/>
  <c r="AA28" i="2"/>
  <c r="AA36" i="2"/>
  <c r="AA44" i="2"/>
  <c r="AA53" i="2"/>
  <c r="AA61" i="2"/>
  <c r="AR30" i="2"/>
  <c r="AR38" i="2"/>
  <c r="AR46" i="2"/>
  <c r="AR55" i="2"/>
  <c r="AR63" i="2"/>
  <c r="AK16" i="2"/>
  <c r="AK24" i="2"/>
  <c r="AK32" i="2"/>
  <c r="AK40" i="2"/>
  <c r="AK48" i="2"/>
  <c r="AK57" i="2"/>
  <c r="AK66" i="2"/>
  <c r="Q12" i="2"/>
  <c r="V55" i="2"/>
  <c r="V49" i="2"/>
  <c r="Q44" i="2"/>
  <c r="V41" i="2"/>
  <c r="Q36" i="2"/>
  <c r="V33" i="2"/>
  <c r="Q28" i="2"/>
  <c r="V25" i="2"/>
  <c r="V18" i="2"/>
  <c r="V15" i="2"/>
  <c r="Q66" i="2"/>
  <c r="AK33" i="2"/>
  <c r="AR65" i="2"/>
  <c r="AF63" i="2"/>
  <c r="AC37" i="2"/>
  <c r="Q26" i="2"/>
  <c r="Q19" i="2"/>
  <c r="S66" i="2"/>
  <c r="N65" i="2"/>
  <c r="V64" i="2"/>
  <c r="Y62" i="2"/>
  <c r="T61" i="2"/>
  <c r="O60" i="2"/>
  <c r="X59" i="2"/>
  <c r="S58" i="2"/>
  <c r="N57" i="2"/>
  <c r="Y54" i="2"/>
  <c r="T53" i="2"/>
  <c r="O52" i="2"/>
  <c r="X51" i="2"/>
  <c r="AF50" i="2"/>
  <c r="S50" i="2"/>
  <c r="N49" i="2"/>
  <c r="Y46" i="2"/>
  <c r="T45" i="2"/>
  <c r="O44" i="2"/>
  <c r="X43" i="2"/>
  <c r="S42" i="2"/>
  <c r="N41" i="2"/>
  <c r="Y38" i="2"/>
  <c r="T37" i="2"/>
  <c r="O36" i="2"/>
  <c r="X35" i="2"/>
  <c r="S34" i="2"/>
  <c r="N33" i="2"/>
  <c r="Y30" i="2"/>
  <c r="T29" i="2"/>
  <c r="O28" i="2"/>
  <c r="X27" i="2"/>
  <c r="S26" i="2"/>
  <c r="N25" i="2"/>
  <c r="AD23" i="2"/>
  <c r="Y22" i="2"/>
  <c r="T21" i="2"/>
  <c r="X20" i="2"/>
  <c r="S19" i="2"/>
  <c r="N18" i="2"/>
  <c r="V17" i="2"/>
  <c r="Y15" i="2"/>
  <c r="T14" i="2"/>
  <c r="O13" i="2"/>
  <c r="X12" i="2"/>
  <c r="Q55" i="2"/>
  <c r="V52" i="2"/>
  <c r="Q49" i="2"/>
  <c r="V46" i="2"/>
  <c r="Q41" i="2"/>
  <c r="V38" i="2"/>
  <c r="Q33" i="2"/>
  <c r="V30" i="2"/>
  <c r="Q25" i="2"/>
  <c r="V22" i="2"/>
  <c r="Q18" i="2"/>
  <c r="Q15" i="2"/>
  <c r="V62" i="2"/>
  <c r="AK25" i="2"/>
  <c r="AR56" i="2"/>
  <c r="AA62" i="2"/>
  <c r="AF55" i="2"/>
  <c r="AC65" i="2"/>
  <c r="AC33" i="2"/>
  <c r="V47" i="2"/>
  <c r="V23" i="2"/>
  <c r="AD66" i="2"/>
  <c r="Y65" i="2"/>
  <c r="AR64" i="2"/>
  <c r="T64" i="2"/>
  <c r="O63" i="2"/>
  <c r="X62" i="2"/>
  <c r="S61" i="2"/>
  <c r="N60" i="2"/>
  <c r="Y57" i="2"/>
  <c r="T56" i="2"/>
  <c r="O55" i="2"/>
  <c r="X54" i="2"/>
  <c r="S53" i="2"/>
  <c r="N52" i="2"/>
  <c r="Q50" i="2"/>
  <c r="T48" i="2"/>
  <c r="O47" i="2"/>
  <c r="X46" i="2"/>
  <c r="S45" i="2"/>
  <c r="N44" i="2"/>
  <c r="Y41" i="2"/>
  <c r="T40" i="2"/>
  <c r="O39" i="2"/>
  <c r="X38" i="2"/>
  <c r="S37" i="2"/>
  <c r="N36" i="2"/>
  <c r="Y33" i="2"/>
  <c r="T32" i="2"/>
  <c r="O31" i="2"/>
  <c r="X30" i="2"/>
  <c r="S29" i="2"/>
  <c r="N28" i="2"/>
  <c r="Y25" i="2"/>
  <c r="AR24" i="2"/>
  <c r="T24" i="2"/>
  <c r="O23" i="2"/>
  <c r="X22" i="2"/>
  <c r="S21" i="2"/>
  <c r="Y18" i="2"/>
  <c r="AR17" i="2"/>
  <c r="T17" i="2"/>
  <c r="O16" i="2"/>
  <c r="X15" i="2"/>
  <c r="S14" i="2"/>
  <c r="AA13" i="2"/>
  <c r="N13" i="2"/>
  <c r="Y10" i="2"/>
  <c r="V57" i="2"/>
  <c r="Q52" i="2"/>
  <c r="Q46" i="2"/>
  <c r="V43" i="2"/>
  <c r="Q38" i="2"/>
  <c r="V35" i="2"/>
  <c r="Q30" i="2"/>
  <c r="V27" i="2"/>
  <c r="Q22" i="2"/>
  <c r="V20" i="2"/>
  <c r="V65" i="2"/>
  <c r="Q62" i="2"/>
  <c r="V58" i="2"/>
  <c r="AK18" i="2"/>
  <c r="AR47" i="2"/>
  <c r="AA54" i="2"/>
  <c r="AF45" i="2"/>
  <c r="AC61" i="2"/>
  <c r="AC29" i="2"/>
  <c r="V39" i="2"/>
  <c r="V60" i="2"/>
  <c r="O66" i="2"/>
  <c r="X65" i="2"/>
  <c r="AF64" i="2"/>
  <c r="S64" i="2"/>
  <c r="N63" i="2"/>
  <c r="Y60" i="2"/>
  <c r="T59" i="2"/>
  <c r="O58" i="2"/>
  <c r="X57" i="2"/>
  <c r="S56" i="2"/>
  <c r="N55" i="2"/>
  <c r="Y52" i="2"/>
  <c r="T51" i="2"/>
  <c r="O50" i="2"/>
  <c r="X49" i="2"/>
  <c r="S48" i="2"/>
  <c r="N47" i="2"/>
  <c r="Y44" i="2"/>
  <c r="T43" i="2"/>
  <c r="O42" i="2"/>
  <c r="X41" i="2"/>
  <c r="S40" i="2"/>
  <c r="N39" i="2"/>
  <c r="Y36" i="2"/>
  <c r="T35" i="2"/>
  <c r="O34" i="2"/>
  <c r="X33" i="2"/>
  <c r="S32" i="2"/>
  <c r="N31" i="2"/>
  <c r="Y28" i="2"/>
  <c r="T27" i="2"/>
  <c r="O26" i="2"/>
  <c r="X25" i="2"/>
  <c r="S24" i="2"/>
  <c r="N23" i="2"/>
  <c r="AD21" i="2"/>
  <c r="T20" i="2"/>
  <c r="O19" i="2"/>
  <c r="X18" i="2"/>
  <c r="AF17" i="2"/>
  <c r="S17" i="2"/>
  <c r="N16" i="2"/>
  <c r="Y13" i="2"/>
  <c r="T12" i="2"/>
  <c r="X10" i="2"/>
  <c r="Q57" i="2"/>
  <c r="V54" i="2"/>
  <c r="V48" i="2"/>
  <c r="Q43" i="2"/>
  <c r="V40" i="2"/>
  <c r="Q35" i="2"/>
  <c r="V32" i="2"/>
  <c r="Q27" i="2"/>
  <c r="V24" i="2"/>
  <c r="Q20" i="2"/>
  <c r="Q17" i="2"/>
  <c r="V14" i="2"/>
  <c r="Q65" i="2"/>
  <c r="Q58" i="2"/>
  <c r="AR39" i="2"/>
  <c r="AA45" i="2"/>
  <c r="AF37" i="2"/>
  <c r="AC57" i="2"/>
  <c r="AC25" i="2"/>
  <c r="N66" i="2"/>
  <c r="Q64" i="2"/>
  <c r="Y63" i="2"/>
  <c r="T62" i="2"/>
  <c r="O61" i="2"/>
  <c r="X60" i="2"/>
  <c r="S59" i="2"/>
  <c r="N58" i="2"/>
  <c r="Y55" i="2"/>
  <c r="T54" i="2"/>
  <c r="O53" i="2"/>
  <c r="X52" i="2"/>
  <c r="S51" i="2"/>
  <c r="AA50" i="2"/>
  <c r="N50" i="2"/>
  <c r="Y47" i="2"/>
  <c r="T46" i="2"/>
  <c r="O45" i="2"/>
  <c r="X44" i="2"/>
  <c r="S43" i="2"/>
  <c r="N42" i="2"/>
  <c r="Y39" i="2"/>
  <c r="T38" i="2"/>
  <c r="O37" i="2"/>
  <c r="X36" i="2"/>
  <c r="S35" i="2"/>
  <c r="N34" i="2"/>
  <c r="Y31" i="2"/>
  <c r="T30" i="2"/>
  <c r="O29" i="2"/>
  <c r="X28" i="2"/>
  <c r="S27" i="2"/>
  <c r="N26" i="2"/>
  <c r="AD24" i="2"/>
  <c r="Y23" i="2"/>
  <c r="T22" i="2"/>
  <c r="O21" i="2"/>
  <c r="S20" i="2"/>
  <c r="N19" i="2"/>
  <c r="Y16" i="2"/>
  <c r="T15" i="2"/>
  <c r="O14" i="2"/>
  <c r="X13" i="2"/>
  <c r="S12" i="2"/>
  <c r="Q54" i="2"/>
  <c r="V51" i="2"/>
  <c r="Q48" i="2"/>
  <c r="V45" i="2"/>
  <c r="Q40" i="2"/>
  <c r="V37" i="2"/>
  <c r="Q32" i="2"/>
  <c r="V29" i="2"/>
  <c r="Q24" i="2"/>
  <c r="V21" i="2"/>
  <c r="Q14" i="2"/>
  <c r="Q61" i="2"/>
  <c r="AR31" i="2"/>
  <c r="AA37" i="2"/>
  <c r="AF29" i="2"/>
  <c r="AC53" i="2"/>
  <c r="AC19" i="2"/>
  <c r="Y66" i="2"/>
  <c r="T65" i="2"/>
  <c r="O64" i="2"/>
  <c r="X63" i="2"/>
  <c r="S62" i="2"/>
  <c r="N61" i="2"/>
  <c r="Y58" i="2"/>
  <c r="T57" i="2"/>
  <c r="O56" i="2"/>
  <c r="X55" i="2"/>
  <c r="S54" i="2"/>
  <c r="N53" i="2"/>
  <c r="T49" i="2"/>
  <c r="O48" i="2"/>
  <c r="X47" i="2"/>
  <c r="S46" i="2"/>
  <c r="N45" i="2"/>
  <c r="Y42" i="2"/>
  <c r="T41" i="2"/>
  <c r="O40" i="2"/>
  <c r="X39" i="2"/>
  <c r="S38" i="2"/>
  <c r="N37" i="2"/>
  <c r="Y34" i="2"/>
  <c r="T33" i="2"/>
  <c r="O32" i="2"/>
  <c r="X31" i="2"/>
  <c r="S30" i="2"/>
  <c r="N29" i="2"/>
  <c r="Y26" i="2"/>
  <c r="AR25" i="2"/>
  <c r="T25" i="2"/>
  <c r="O24" i="2"/>
  <c r="X23" i="2"/>
  <c r="S22" i="2"/>
  <c r="N21" i="2"/>
  <c r="AD20" i="2"/>
  <c r="Y19" i="2"/>
  <c r="T18" i="2"/>
  <c r="O17" i="2"/>
  <c r="X16" i="2"/>
  <c r="V56" i="2"/>
  <c r="Q51" i="2"/>
  <c r="Q45" i="2"/>
  <c r="V42" i="2"/>
  <c r="Q37" i="2"/>
  <c r="V34" i="2"/>
  <c r="Q29" i="2"/>
  <c r="V26" i="2"/>
  <c r="Q21" i="2"/>
  <c r="V19" i="2"/>
  <c r="V16" i="2"/>
  <c r="AH63" i="2"/>
  <c r="AH55" i="2"/>
  <c r="AH47" i="2"/>
  <c r="AH39" i="2"/>
  <c r="AH31" i="2"/>
  <c r="AH23" i="2"/>
  <c r="AH16" i="2"/>
  <c r="AI61" i="2"/>
  <c r="AI53" i="2"/>
  <c r="AI45" i="2"/>
  <c r="AI37" i="2"/>
  <c r="AI29" i="2"/>
  <c r="AI21" i="2"/>
  <c r="AI14" i="2"/>
  <c r="AK58" i="2"/>
  <c r="AR21" i="2"/>
  <c r="AA29" i="2"/>
  <c r="AF21" i="2"/>
  <c r="AC49" i="2"/>
  <c r="AC15" i="2"/>
  <c r="AH62" i="2"/>
  <c r="AH54" i="2"/>
  <c r="AH46" i="2"/>
  <c r="AH38" i="2"/>
  <c r="AH30" i="2"/>
  <c r="AH22" i="2"/>
  <c r="AH15" i="2"/>
  <c r="AI60" i="2"/>
  <c r="AI52" i="2"/>
  <c r="AI44" i="2"/>
  <c r="AI36" i="2"/>
  <c r="AI28" i="2"/>
  <c r="AI13" i="2"/>
  <c r="AK50" i="2"/>
  <c r="AH61" i="2"/>
  <c r="AH53" i="2"/>
  <c r="AH45" i="2"/>
  <c r="AH37" i="2"/>
  <c r="AH29" i="2"/>
  <c r="AH21" i="2"/>
  <c r="AH14" i="2"/>
  <c r="AI59" i="2"/>
  <c r="AI51" i="2"/>
  <c r="AI43" i="2"/>
  <c r="AI35" i="2"/>
  <c r="AI27" i="2"/>
  <c r="AI20" i="2"/>
  <c r="AI12" i="2"/>
  <c r="AH60" i="2"/>
  <c r="AH52" i="2"/>
  <c r="AH44" i="2"/>
  <c r="AH36" i="2"/>
  <c r="AH28" i="2"/>
  <c r="AH13" i="2"/>
  <c r="AI66" i="2"/>
  <c r="AI58" i="2"/>
  <c r="AI50" i="2"/>
  <c r="AI42" i="2"/>
  <c r="AI34" i="2"/>
  <c r="AI26" i="2"/>
  <c r="AI19" i="2"/>
  <c r="AK64" i="2"/>
  <c r="AK17" i="2"/>
  <c r="AH59" i="2"/>
  <c r="AH51" i="2"/>
  <c r="AH43" i="2"/>
  <c r="AH35" i="2"/>
  <c r="AH27" i="2"/>
  <c r="AH20" i="2"/>
  <c r="AH12" i="2"/>
  <c r="AI65" i="2"/>
  <c r="AI57" i="2"/>
  <c r="AI49" i="2"/>
  <c r="AI41" i="2"/>
  <c r="AI33" i="2"/>
  <c r="AI25" i="2"/>
  <c r="AI18" i="2"/>
  <c r="AH66" i="2"/>
  <c r="AH58" i="2"/>
  <c r="AH50" i="2"/>
  <c r="AH42" i="2"/>
  <c r="AH34" i="2"/>
  <c r="AH26" i="2"/>
  <c r="AH19" i="2"/>
  <c r="AI64" i="2"/>
  <c r="AI56" i="2"/>
  <c r="AI48" i="2"/>
  <c r="AI40" i="2"/>
  <c r="AI32" i="2"/>
  <c r="AI24" i="2"/>
  <c r="AI17" i="2"/>
  <c r="AH65" i="2"/>
  <c r="AH57" i="2"/>
  <c r="AH49" i="2"/>
  <c r="AH41" i="2"/>
  <c r="AH33" i="2"/>
  <c r="AH25" i="2"/>
  <c r="AH18" i="2"/>
  <c r="AI63" i="2"/>
  <c r="AI55" i="2"/>
  <c r="AI47" i="2"/>
  <c r="AI39" i="2"/>
  <c r="AI31" i="2"/>
  <c r="AI23" i="2"/>
  <c r="AI16" i="2"/>
  <c r="AH64" i="2"/>
  <c r="AH56" i="2"/>
  <c r="AH48" i="2"/>
  <c r="AH40" i="2"/>
  <c r="AH32" i="2"/>
  <c r="AH24" i="2"/>
  <c r="AH17" i="2"/>
  <c r="AI62" i="2"/>
  <c r="AI54" i="2"/>
  <c r="AI46" i="2"/>
  <c r="AI38" i="2"/>
  <c r="AI30" i="2"/>
  <c r="AI22" i="2"/>
  <c r="AI15" i="2"/>
  <c r="AK13" i="2"/>
  <c r="Y2" i="28"/>
  <c r="T8" i="24"/>
  <c r="N7" i="13" s="1"/>
  <c r="O11" i="15" s="1"/>
  <c r="AI8" i="2"/>
  <c r="AR8" i="2"/>
  <c r="B10" i="14"/>
  <c r="T9" i="25"/>
  <c r="N8" i="14" s="1"/>
  <c r="O9" i="15" s="1"/>
  <c r="L5" i="25"/>
  <c r="B13" i="22"/>
  <c r="T10" i="22"/>
  <c r="N19" i="13" s="1"/>
  <c r="O28" i="15" s="1"/>
  <c r="T11" i="22"/>
  <c r="N22" i="13" s="1"/>
  <c r="O31" i="15" s="1"/>
  <c r="AK8" i="2"/>
  <c r="N8" i="2"/>
  <c r="AI11" i="2"/>
  <c r="AR10" i="2"/>
  <c r="AI10" i="2"/>
  <c r="AR9" i="2"/>
  <c r="AH8" i="2"/>
  <c r="AI9" i="2"/>
  <c r="AH11" i="2"/>
  <c r="AK11" i="2"/>
  <c r="AH10" i="2"/>
  <c r="AK10" i="2"/>
  <c r="AH9" i="2"/>
  <c r="AK9" i="2"/>
  <c r="T9" i="20"/>
  <c r="T8" i="20"/>
  <c r="N7" i="12" s="1"/>
  <c r="O22" i="15" s="1"/>
  <c r="T8" i="25"/>
  <c r="N11" i="2"/>
  <c r="O9" i="2"/>
  <c r="P9" i="2" s="1"/>
  <c r="M7" i="28" s="1"/>
  <c r="S10" i="2"/>
  <c r="O10" i="2"/>
  <c r="T11" i="2"/>
  <c r="V10" i="2"/>
  <c r="N10" i="2"/>
  <c r="S11" i="2"/>
  <c r="V9" i="2"/>
  <c r="AA8" i="2"/>
  <c r="O11" i="2"/>
  <c r="Q9" i="2"/>
  <c r="T10" i="2"/>
  <c r="X8" i="2"/>
  <c r="Y8" i="2"/>
  <c r="O8" i="2"/>
  <c r="T9" i="2"/>
  <c r="Q8" i="2"/>
  <c r="S9" i="2"/>
  <c r="AC8" i="2"/>
  <c r="Q11" i="2"/>
  <c r="S8" i="2"/>
  <c r="V8" i="2"/>
  <c r="AD8" i="2"/>
  <c r="Q10" i="2"/>
  <c r="T8" i="2"/>
  <c r="V11" i="2"/>
  <c r="AF8" i="2"/>
  <c r="Z2" i="23"/>
  <c r="Z2" i="22"/>
  <c r="Z2" i="20"/>
  <c r="Z2" i="24"/>
  <c r="B10" i="25"/>
  <c r="B10" i="24"/>
  <c r="B11" i="24" s="1"/>
  <c r="E6" i="19"/>
  <c r="Z3" i="33" l="1"/>
  <c r="Z4" i="33" s="1"/>
  <c r="C8" i="33"/>
  <c r="C9" i="33"/>
  <c r="N6" i="14"/>
  <c r="O6" i="15" s="1"/>
  <c r="N7" i="14"/>
  <c r="O7" i="15" s="1"/>
  <c r="N11" i="13"/>
  <c r="O17" i="15" s="1"/>
  <c r="C9" i="23"/>
  <c r="C8" i="23"/>
  <c r="N6" i="13"/>
  <c r="O8" i="15" s="1"/>
  <c r="N35" i="13"/>
  <c r="O60" i="15" s="1"/>
  <c r="B12" i="24"/>
  <c r="T11" i="24"/>
  <c r="Z4" i="25"/>
  <c r="C10" i="25"/>
  <c r="C9" i="25"/>
  <c r="Z3" i="24"/>
  <c r="P22" i="28"/>
  <c r="O11" i="23"/>
  <c r="B12" i="23"/>
  <c r="T11" i="23"/>
  <c r="N14" i="13" s="1"/>
  <c r="Z3" i="23"/>
  <c r="Z3" i="20"/>
  <c r="Z4" i="20" s="1"/>
  <c r="C12" i="20"/>
  <c r="C11" i="20"/>
  <c r="T11" i="20"/>
  <c r="N18" i="12" s="1"/>
  <c r="O50" i="15" s="1"/>
  <c r="AO49" i="2"/>
  <c r="Q16" i="22" s="1"/>
  <c r="AE47" i="2"/>
  <c r="P73" i="2"/>
  <c r="P67" i="2"/>
  <c r="Z77" i="2"/>
  <c r="AE76" i="2"/>
  <c r="AO74" i="2"/>
  <c r="Q13" i="3" s="1"/>
  <c r="P71" i="2"/>
  <c r="U70" i="2"/>
  <c r="Z69" i="2"/>
  <c r="AE68" i="2"/>
  <c r="AJ67" i="2"/>
  <c r="AO18" i="2"/>
  <c r="Q13" i="24" s="1"/>
  <c r="AO61" i="2"/>
  <c r="Q8" i="20" s="1"/>
  <c r="P75" i="2"/>
  <c r="L17" i="3" s="1"/>
  <c r="U74" i="2"/>
  <c r="AE72" i="2"/>
  <c r="AJ71" i="2"/>
  <c r="AO70" i="2"/>
  <c r="Q14" i="3" s="1"/>
  <c r="U18" i="2"/>
  <c r="N35" i="28" s="1"/>
  <c r="Z26" i="2"/>
  <c r="P77" i="2"/>
  <c r="U76" i="2"/>
  <c r="Z75" i="2"/>
  <c r="N17" i="3" s="1"/>
  <c r="AE74" i="2"/>
  <c r="AO72" i="2"/>
  <c r="Q11" i="3" s="1"/>
  <c r="P69" i="2"/>
  <c r="Z67" i="2"/>
  <c r="U72" i="2"/>
  <c r="AJ23" i="2"/>
  <c r="AO35" i="2"/>
  <c r="Q24" i="23" s="1"/>
  <c r="AJ31" i="2"/>
  <c r="U41" i="2"/>
  <c r="P32" i="2"/>
  <c r="L7" i="23" s="1"/>
  <c r="AO20" i="2"/>
  <c r="Q8" i="24" s="1"/>
  <c r="AO51" i="2"/>
  <c r="Q15" i="22" s="1"/>
  <c r="Q73" i="28"/>
  <c r="Z58" i="2"/>
  <c r="N8" i="33" s="1"/>
  <c r="AO33" i="2"/>
  <c r="Q22" i="23" s="1"/>
  <c r="AO24" i="2"/>
  <c r="Q14" i="24" s="1"/>
  <c r="AJ77" i="2"/>
  <c r="AO76" i="2"/>
  <c r="Q7" i="3" s="1"/>
  <c r="AO65" i="2"/>
  <c r="Q9" i="20" s="1"/>
  <c r="AJ39" i="2"/>
  <c r="P9" i="23" s="1"/>
  <c r="AO25" i="2"/>
  <c r="Q12" i="24" s="1"/>
  <c r="AO52" i="2"/>
  <c r="Q12" i="22" s="1"/>
  <c r="AJ47" i="2"/>
  <c r="Q71" i="28" s="1"/>
  <c r="P64" i="2"/>
  <c r="AO9" i="2"/>
  <c r="Q8" i="25" s="1"/>
  <c r="Q45" i="28"/>
  <c r="AO77" i="2"/>
  <c r="Q15" i="3" s="1"/>
  <c r="P74" i="2"/>
  <c r="Z72" i="2"/>
  <c r="AE71" i="2"/>
  <c r="AJ70" i="2"/>
  <c r="Q32" i="28"/>
  <c r="AO45" i="2"/>
  <c r="Q8" i="22" s="1"/>
  <c r="AO36" i="2"/>
  <c r="Q25" i="23" s="1"/>
  <c r="AO39" i="2"/>
  <c r="Q9" i="23" s="1"/>
  <c r="AO8" i="2"/>
  <c r="Q7" i="25" s="1"/>
  <c r="P76" i="2"/>
  <c r="U75" i="2"/>
  <c r="M17" i="3" s="1"/>
  <c r="Z74" i="2"/>
  <c r="AJ72" i="2"/>
  <c r="AO71" i="2"/>
  <c r="Q9" i="3" s="1"/>
  <c r="P68" i="2"/>
  <c r="Z71" i="2"/>
  <c r="AE70" i="2"/>
  <c r="AJ69" i="2"/>
  <c r="U77" i="2"/>
  <c r="Z76" i="2"/>
  <c r="AE75" i="2"/>
  <c r="O17" i="3" s="1"/>
  <c r="AJ74" i="2"/>
  <c r="AO73" i="2"/>
  <c r="Q16" i="3" s="1"/>
  <c r="P70" i="2"/>
  <c r="Z68" i="2"/>
  <c r="AE67" i="2"/>
  <c r="AO55" i="2"/>
  <c r="Q17" i="22" s="1"/>
  <c r="AO23" i="2"/>
  <c r="Q11" i="24" s="1"/>
  <c r="AE77" i="2"/>
  <c r="AJ76" i="2"/>
  <c r="AO75" i="2"/>
  <c r="Q17" i="3" s="1"/>
  <c r="P72" i="2"/>
  <c r="U71" i="2"/>
  <c r="Z70" i="2"/>
  <c r="AE69" i="2"/>
  <c r="AJ68" i="2"/>
  <c r="AO67" i="2"/>
  <c r="Q12" i="3" s="1"/>
  <c r="AO21" i="2"/>
  <c r="Q10" i="24" s="1"/>
  <c r="AO54" i="2"/>
  <c r="Q9" i="22" s="1"/>
  <c r="AO22" i="2"/>
  <c r="Q9" i="24" s="1"/>
  <c r="AU77" i="2"/>
  <c r="S62" i="28" s="1"/>
  <c r="AU76" i="2"/>
  <c r="S49" i="28" s="1"/>
  <c r="AU75" i="2"/>
  <c r="AU74" i="2"/>
  <c r="S63" i="28" s="1"/>
  <c r="AU73" i="2"/>
  <c r="S70" i="28" s="1"/>
  <c r="AU72" i="2"/>
  <c r="S60" i="28" s="1"/>
  <c r="AU71" i="2"/>
  <c r="S57" i="28" s="1"/>
  <c r="AU70" i="2"/>
  <c r="S66" i="28" s="1"/>
  <c r="AO69" i="2"/>
  <c r="Q8" i="3" s="1"/>
  <c r="AU69" i="2"/>
  <c r="S48" i="28" s="1"/>
  <c r="U69" i="2"/>
  <c r="AO68" i="2"/>
  <c r="Q10" i="3" s="1"/>
  <c r="AU68" i="2"/>
  <c r="S59" i="28" s="1"/>
  <c r="U68" i="2"/>
  <c r="AU67" i="2"/>
  <c r="S61" i="28" s="1"/>
  <c r="U67" i="2"/>
  <c r="N76" i="28"/>
  <c r="P14" i="2"/>
  <c r="P15" i="28"/>
  <c r="AO63" i="2"/>
  <c r="Q12" i="20" s="1"/>
  <c r="AO47" i="2"/>
  <c r="Q14" i="22" s="1"/>
  <c r="AO31" i="2"/>
  <c r="Q11" i="23" s="1"/>
  <c r="AO16" i="2"/>
  <c r="Q17" i="25" s="1"/>
  <c r="AE13" i="2"/>
  <c r="U25" i="2"/>
  <c r="M12" i="24" s="1"/>
  <c r="P40" i="2"/>
  <c r="L12" i="23" s="1"/>
  <c r="U15" i="2"/>
  <c r="AE41" i="2"/>
  <c r="AO64" i="2"/>
  <c r="Q11" i="20" s="1"/>
  <c r="AO48" i="2"/>
  <c r="Q16" i="23" s="1"/>
  <c r="AO32" i="2"/>
  <c r="Q7" i="23" s="1"/>
  <c r="AO17" i="2"/>
  <c r="Q9" i="25" s="1"/>
  <c r="N15" i="28"/>
  <c r="AE62" i="2"/>
  <c r="AE46" i="2"/>
  <c r="O11" i="22" s="1"/>
  <c r="AO38" i="2"/>
  <c r="Q17" i="23" s="1"/>
  <c r="AO37" i="2"/>
  <c r="Q13" i="23" s="1"/>
  <c r="AO56" i="2"/>
  <c r="Q13" i="22" s="1"/>
  <c r="AO40" i="2"/>
  <c r="Q12" i="23" s="1"/>
  <c r="AO59" i="2"/>
  <c r="AO43" i="2"/>
  <c r="Q18" i="23" s="1"/>
  <c r="AO27" i="2"/>
  <c r="Q10" i="23" s="1"/>
  <c r="AO12" i="2"/>
  <c r="Q16" i="25" s="1"/>
  <c r="AO14" i="2"/>
  <c r="Q10" i="25" s="1"/>
  <c r="AO58" i="2"/>
  <c r="Q8" i="33" s="1"/>
  <c r="AO42" i="2"/>
  <c r="Q26" i="23" s="1"/>
  <c r="AO26" i="2"/>
  <c r="Q14" i="23" s="1"/>
  <c r="AO11" i="2"/>
  <c r="Q15" i="25" s="1"/>
  <c r="AE45" i="2"/>
  <c r="P27" i="28" s="1"/>
  <c r="AO41" i="2"/>
  <c r="Q8" i="23" s="1"/>
  <c r="AO53" i="2"/>
  <c r="Q10" i="22" s="1"/>
  <c r="AO57" i="2"/>
  <c r="AO60" i="2"/>
  <c r="Q7" i="20" s="1"/>
  <c r="AO44" i="2"/>
  <c r="Q15" i="23" s="1"/>
  <c r="AO28" i="2"/>
  <c r="Q19" i="23" s="1"/>
  <c r="AO13" i="2"/>
  <c r="Q13" i="25" s="1"/>
  <c r="AO29" i="2"/>
  <c r="Q20" i="23" s="1"/>
  <c r="AO62" i="2"/>
  <c r="Q10" i="20" s="1"/>
  <c r="AO46" i="2"/>
  <c r="Q11" i="22" s="1"/>
  <c r="AO30" i="2"/>
  <c r="Q21" i="23" s="1"/>
  <c r="AO15" i="2"/>
  <c r="Q14" i="25" s="1"/>
  <c r="AO10" i="2"/>
  <c r="Q11" i="25" s="1"/>
  <c r="AO66" i="2"/>
  <c r="Q12" i="25" s="1"/>
  <c r="AO50" i="2"/>
  <c r="Q7" i="22" s="1"/>
  <c r="AO34" i="2"/>
  <c r="AO19" i="2"/>
  <c r="Q7" i="24" s="1"/>
  <c r="AJ38" i="2"/>
  <c r="P17" i="23" s="1"/>
  <c r="P48" i="2"/>
  <c r="L16" i="23" s="1"/>
  <c r="AE44" i="2"/>
  <c r="O15" i="23" s="1"/>
  <c r="AE10" i="2"/>
  <c r="P13" i="28" s="1"/>
  <c r="AJ15" i="2"/>
  <c r="Q43" i="28" s="1"/>
  <c r="AJ46" i="2"/>
  <c r="AE26" i="2"/>
  <c r="P46" i="28" s="1"/>
  <c r="P67" i="28"/>
  <c r="AE27" i="2"/>
  <c r="O10" i="23" s="1"/>
  <c r="AE9" i="2"/>
  <c r="P7" i="28" s="1"/>
  <c r="AJ10" i="2"/>
  <c r="Q13" i="28" s="1"/>
  <c r="Q15" i="28"/>
  <c r="Q17" i="28"/>
  <c r="AJ62" i="2"/>
  <c r="Q37" i="28" s="1"/>
  <c r="AE64" i="2"/>
  <c r="AE48" i="2"/>
  <c r="O16" i="23" s="1"/>
  <c r="AE32" i="2"/>
  <c r="O7" i="23" s="1"/>
  <c r="AE14" i="2"/>
  <c r="AE51" i="2"/>
  <c r="AE17" i="2"/>
  <c r="P10" i="28" s="1"/>
  <c r="AE50" i="2"/>
  <c r="AE34" i="2"/>
  <c r="P31" i="28" s="1"/>
  <c r="P73" i="28"/>
  <c r="P8" i="2"/>
  <c r="AE21" i="2"/>
  <c r="P25" i="28" s="1"/>
  <c r="Z50" i="2"/>
  <c r="Z19" i="2"/>
  <c r="U65" i="2"/>
  <c r="AE23" i="2"/>
  <c r="AE20" i="2"/>
  <c r="P24" i="2"/>
  <c r="L14" i="24" s="1"/>
  <c r="U33" i="2"/>
  <c r="M22" i="23" s="1"/>
  <c r="P56" i="2"/>
  <c r="Z66" i="2"/>
  <c r="O29" i="28" s="1"/>
  <c r="P11" i="2"/>
  <c r="M15" i="28" s="1"/>
  <c r="AJ22" i="2"/>
  <c r="P17" i="2"/>
  <c r="M10" i="28" s="1"/>
  <c r="Z34" i="2"/>
  <c r="U57" i="2"/>
  <c r="AE66" i="2"/>
  <c r="P29" i="28" s="1"/>
  <c r="AE52" i="2"/>
  <c r="U9" i="2"/>
  <c r="N7" i="28" s="1"/>
  <c r="AE60" i="2"/>
  <c r="AE56" i="2"/>
  <c r="AE43" i="2"/>
  <c r="AE8" i="2"/>
  <c r="AJ54" i="2"/>
  <c r="Q41" i="28" s="1"/>
  <c r="AE39" i="2"/>
  <c r="AE38" i="2"/>
  <c r="O17" i="23" s="1"/>
  <c r="U10" i="2"/>
  <c r="N13" i="28" s="1"/>
  <c r="AE40" i="2"/>
  <c r="P45" i="28"/>
  <c r="AE54" i="2"/>
  <c r="P41" i="28" s="1"/>
  <c r="AJ48" i="2"/>
  <c r="AJ65" i="2"/>
  <c r="Q39" i="28" s="1"/>
  <c r="Q64" i="28"/>
  <c r="Q34" i="28"/>
  <c r="AJ45" i="2"/>
  <c r="Q27" i="28" s="1"/>
  <c r="P29" i="2"/>
  <c r="Z39" i="2"/>
  <c r="N24" i="28"/>
  <c r="P66" i="2"/>
  <c r="M29" i="28" s="1"/>
  <c r="P39" i="2"/>
  <c r="L9" i="23" s="1"/>
  <c r="Z15" i="2"/>
  <c r="P44" i="2"/>
  <c r="U53" i="2"/>
  <c r="N36" i="28" s="1"/>
  <c r="AE61" i="2"/>
  <c r="P30" i="28" s="1"/>
  <c r="P33" i="2"/>
  <c r="Z43" i="2"/>
  <c r="N18" i="23" s="1"/>
  <c r="P30" i="2"/>
  <c r="Z40" i="2"/>
  <c r="N12" i="23" s="1"/>
  <c r="P12" i="2"/>
  <c r="P20" i="2"/>
  <c r="P51" i="2"/>
  <c r="Z61" i="2"/>
  <c r="AJ56" i="2"/>
  <c r="AJ66" i="2"/>
  <c r="Q29" i="28" s="1"/>
  <c r="AJ20" i="2"/>
  <c r="Q26" i="28"/>
  <c r="AJ53" i="2"/>
  <c r="Q36" i="28" s="1"/>
  <c r="P21" i="2"/>
  <c r="M25" i="28" s="1"/>
  <c r="U30" i="2"/>
  <c r="M21" i="23" s="1"/>
  <c r="P61" i="2"/>
  <c r="P26" i="2"/>
  <c r="M46" i="28" s="1"/>
  <c r="P58" i="2"/>
  <c r="L8" i="33" s="1"/>
  <c r="U40" i="2"/>
  <c r="U45" i="2"/>
  <c r="Z54" i="2"/>
  <c r="O41" i="28" s="1"/>
  <c r="AE57" i="2"/>
  <c r="O12" i="24"/>
  <c r="U34" i="2"/>
  <c r="N31" i="28" s="1"/>
  <c r="P65" i="2"/>
  <c r="M39" i="28" s="1"/>
  <c r="U31" i="2"/>
  <c r="M11" i="23" s="1"/>
  <c r="P62" i="2"/>
  <c r="M37" i="28" s="1"/>
  <c r="U13" i="2"/>
  <c r="P43" i="2"/>
  <c r="L18" i="23" s="1"/>
  <c r="U52" i="2"/>
  <c r="Z8" i="2"/>
  <c r="AJ64" i="2"/>
  <c r="P11" i="20" s="1"/>
  <c r="Q35" i="28"/>
  <c r="AJ27" i="2"/>
  <c r="P10" i="23" s="1"/>
  <c r="Q74" i="28"/>
  <c r="AJ61" i="2"/>
  <c r="U22" i="2"/>
  <c r="M9" i="24" s="1"/>
  <c r="Z31" i="2"/>
  <c r="N11" i="23" s="1"/>
  <c r="U62" i="2"/>
  <c r="N37" i="28" s="1"/>
  <c r="P19" i="2"/>
  <c r="M9" i="28" s="1"/>
  <c r="U27" i="2"/>
  <c r="M10" i="23" s="1"/>
  <c r="U59" i="2"/>
  <c r="N67" i="28" s="1"/>
  <c r="P31" i="2"/>
  <c r="Z41" i="2"/>
  <c r="P63" i="2"/>
  <c r="Z46" i="2"/>
  <c r="AE53" i="2"/>
  <c r="P36" i="28" s="1"/>
  <c r="AE19" i="2"/>
  <c r="P9" i="28" s="1"/>
  <c r="P25" i="2"/>
  <c r="U66" i="2"/>
  <c r="N29" i="28" s="1"/>
  <c r="P22" i="2"/>
  <c r="L9" i="24" s="1"/>
  <c r="Z32" i="2"/>
  <c r="N32" i="28"/>
  <c r="Z21" i="2"/>
  <c r="O25" i="28" s="1"/>
  <c r="U44" i="2"/>
  <c r="M15" i="23" s="1"/>
  <c r="Z53" i="2"/>
  <c r="O36" i="28" s="1"/>
  <c r="AJ25" i="2"/>
  <c r="P12" i="24" s="1"/>
  <c r="AJ19" i="2"/>
  <c r="AJ44" i="2"/>
  <c r="P15" i="23" s="1"/>
  <c r="Z23" i="2"/>
  <c r="N11" i="24" s="1"/>
  <c r="P53" i="2"/>
  <c r="M36" i="28" s="1"/>
  <c r="O32" i="28"/>
  <c r="U20" i="2"/>
  <c r="N11" i="28" s="1"/>
  <c r="P50" i="2"/>
  <c r="M16" i="28" s="1"/>
  <c r="Z60" i="2"/>
  <c r="O28" i="28" s="1"/>
  <c r="P23" i="2"/>
  <c r="L11" i="24" s="1"/>
  <c r="U32" i="2"/>
  <c r="U64" i="2"/>
  <c r="M11" i="20" s="1"/>
  <c r="U37" i="2"/>
  <c r="M13" i="23" s="1"/>
  <c r="AE15" i="2"/>
  <c r="P43" i="28" s="1"/>
  <c r="P18" i="2"/>
  <c r="M35" i="28" s="1"/>
  <c r="U26" i="2"/>
  <c r="P57" i="2"/>
  <c r="M33" i="28" s="1"/>
  <c r="U23" i="2"/>
  <c r="P54" i="2"/>
  <c r="M41" i="28" s="1"/>
  <c r="Z64" i="2"/>
  <c r="N11" i="20" s="1"/>
  <c r="Z14" i="2"/>
  <c r="AE22" i="2"/>
  <c r="O9" i="24" s="1"/>
  <c r="Z45" i="2"/>
  <c r="AJ17" i="2"/>
  <c r="Q10" i="28" s="1"/>
  <c r="AJ26" i="2"/>
  <c r="Q46" i="28" s="1"/>
  <c r="AJ43" i="2"/>
  <c r="AJ52" i="2"/>
  <c r="AJ14" i="2"/>
  <c r="Q12" i="28" s="1"/>
  <c r="P45" i="2"/>
  <c r="U54" i="2"/>
  <c r="N41" i="28" s="1"/>
  <c r="M73" i="28"/>
  <c r="U24" i="2"/>
  <c r="M14" i="24" s="1"/>
  <c r="P55" i="2"/>
  <c r="M45" i="28" s="1"/>
  <c r="P28" i="2"/>
  <c r="Z38" i="2"/>
  <c r="U19" i="2"/>
  <c r="Z27" i="2"/>
  <c r="N10" i="23" s="1"/>
  <c r="M76" i="28"/>
  <c r="U58" i="2"/>
  <c r="M8" i="33" s="1"/>
  <c r="P15" i="2"/>
  <c r="P46" i="2"/>
  <c r="L11" i="22" s="1"/>
  <c r="N45" i="28"/>
  <c r="P10" i="2"/>
  <c r="M13" i="28" s="1"/>
  <c r="AJ41" i="2"/>
  <c r="Q31" i="28"/>
  <c r="AJ51" i="2"/>
  <c r="Q68" i="28" s="1"/>
  <c r="AJ60" i="2"/>
  <c r="Q28" i="28" s="1"/>
  <c r="AJ21" i="2"/>
  <c r="Q25" i="28" s="1"/>
  <c r="O73" i="28"/>
  <c r="U46" i="2"/>
  <c r="M11" i="22" s="1"/>
  <c r="O45" i="28"/>
  <c r="Z13" i="2"/>
  <c r="O52" i="28" s="1"/>
  <c r="M75" i="28"/>
  <c r="Z52" i="2"/>
  <c r="O47" i="28" s="1"/>
  <c r="U17" i="2"/>
  <c r="N10" i="28" s="1"/>
  <c r="U56" i="2"/>
  <c r="Z65" i="2"/>
  <c r="O39" i="28" s="1"/>
  <c r="N40" i="28"/>
  <c r="P60" i="2"/>
  <c r="M28" i="28" s="1"/>
  <c r="Z20" i="2"/>
  <c r="O11" i="28" s="1"/>
  <c r="U50" i="2"/>
  <c r="Z59" i="2"/>
  <c r="O67" i="28" s="1"/>
  <c r="N73" i="28"/>
  <c r="U47" i="2"/>
  <c r="Z56" i="2"/>
  <c r="P35" i="2"/>
  <c r="L24" i="23" s="1"/>
  <c r="Z37" i="2"/>
  <c r="N13" i="23" s="1"/>
  <c r="AJ9" i="2"/>
  <c r="Q7" i="28" s="1"/>
  <c r="AJ8" i="2"/>
  <c r="AJ32" i="2"/>
  <c r="Q76" i="28"/>
  <c r="Q75" i="28"/>
  <c r="Q67" i="28"/>
  <c r="P37" i="2"/>
  <c r="Z47" i="2"/>
  <c r="O71" i="28" s="1"/>
  <c r="U43" i="2"/>
  <c r="M18" i="23" s="1"/>
  <c r="Z25" i="2"/>
  <c r="N12" i="24" s="1"/>
  <c r="P47" i="2"/>
  <c r="M71" i="28" s="1"/>
  <c r="Z57" i="2"/>
  <c r="P13" i="2"/>
  <c r="M52" i="28" s="1"/>
  <c r="U21" i="2"/>
  <c r="N25" i="28" s="1"/>
  <c r="Z30" i="2"/>
  <c r="N21" i="23" s="1"/>
  <c r="U61" i="2"/>
  <c r="N30" i="28" s="1"/>
  <c r="AE37" i="2"/>
  <c r="O13" i="23" s="1"/>
  <c r="P41" i="2"/>
  <c r="Z17" i="2"/>
  <c r="O10" i="28" s="1"/>
  <c r="P38" i="2"/>
  <c r="Z48" i="2"/>
  <c r="N16" i="23" s="1"/>
  <c r="P59" i="2"/>
  <c r="M67" i="28" s="1"/>
  <c r="AJ40" i="2"/>
  <c r="AJ57" i="2"/>
  <c r="AJ50" i="2"/>
  <c r="Q16" i="28" s="1"/>
  <c r="AJ13" i="2"/>
  <c r="AJ37" i="2"/>
  <c r="P13" i="23" s="1"/>
  <c r="U38" i="2"/>
  <c r="P34" i="2"/>
  <c r="M31" i="28" s="1"/>
  <c r="Z44" i="2"/>
  <c r="Z10" i="2"/>
  <c r="O13" i="28" s="1"/>
  <c r="Z18" i="2"/>
  <c r="O35" i="28" s="1"/>
  <c r="U48" i="2"/>
  <c r="U14" i="2"/>
  <c r="N12" i="28" s="1"/>
  <c r="Z22" i="2"/>
  <c r="P52" i="2"/>
  <c r="Z62" i="2"/>
  <c r="O37" i="28" s="1"/>
  <c r="AE65" i="2"/>
  <c r="P39" i="28" s="1"/>
  <c r="P56" i="28"/>
  <c r="N16" i="25"/>
  <c r="Z51" i="2"/>
  <c r="O68" i="28" s="1"/>
  <c r="Z9" i="2"/>
  <c r="O7" i="28" s="1"/>
  <c r="U39" i="2"/>
  <c r="M9" i="23" s="1"/>
  <c r="P27" i="2"/>
  <c r="L10" i="23" s="1"/>
  <c r="O15" i="28"/>
  <c r="U60" i="2"/>
  <c r="N28" i="28" s="1"/>
  <c r="Z3" i="22"/>
  <c r="Z4" i="22" s="1"/>
  <c r="C7" i="22"/>
  <c r="O15" i="3"/>
  <c r="AG63" i="2"/>
  <c r="AG31" i="2"/>
  <c r="O16" i="25"/>
  <c r="C7" i="33"/>
  <c r="B11" i="32"/>
  <c r="T10" i="32"/>
  <c r="C10" i="32"/>
  <c r="C9" i="32"/>
  <c r="N22" i="12"/>
  <c r="O73" i="15" s="1"/>
  <c r="P7" i="22"/>
  <c r="P15" i="3"/>
  <c r="O16" i="22"/>
  <c r="L12" i="25"/>
  <c r="P12" i="25"/>
  <c r="N16" i="22"/>
  <c r="N15" i="3"/>
  <c r="P16" i="22"/>
  <c r="M16" i="22"/>
  <c r="O9" i="22"/>
  <c r="N7" i="22"/>
  <c r="M12" i="25"/>
  <c r="L16" i="22"/>
  <c r="AU35" i="2"/>
  <c r="AU13" i="2"/>
  <c r="S52" i="28" s="1"/>
  <c r="AU65" i="2"/>
  <c r="S39" i="28" s="1"/>
  <c r="AU51" i="2"/>
  <c r="S68" i="28" s="1"/>
  <c r="AU37" i="2"/>
  <c r="AU12" i="2"/>
  <c r="S34" i="28" s="1"/>
  <c r="AU50" i="2"/>
  <c r="S16" i="28" s="1"/>
  <c r="AU16" i="2"/>
  <c r="S73" i="28" s="1"/>
  <c r="AU22" i="2"/>
  <c r="AU54" i="2"/>
  <c r="S41" i="28" s="1"/>
  <c r="AU15" i="2"/>
  <c r="S43" i="28" s="1"/>
  <c r="AU14" i="2"/>
  <c r="S12" i="28" s="1"/>
  <c r="AU29" i="2"/>
  <c r="AU57" i="2"/>
  <c r="S33" i="28" s="1"/>
  <c r="AU44" i="2"/>
  <c r="AU41" i="2"/>
  <c r="AU39" i="2"/>
  <c r="AU61" i="2"/>
  <c r="S30" i="28" s="1"/>
  <c r="AU38" i="2"/>
  <c r="AU48" i="2"/>
  <c r="R16" i="23" s="1"/>
  <c r="AU20" i="2"/>
  <c r="S11" i="28" s="1"/>
  <c r="AU52" i="2"/>
  <c r="S47" i="28" s="1"/>
  <c r="AU49" i="2"/>
  <c r="S76" i="28" s="1"/>
  <c r="AU46" i="2"/>
  <c r="AU28" i="2"/>
  <c r="AU36" i="2"/>
  <c r="AU26" i="2"/>
  <c r="S46" i="28" s="1"/>
  <c r="AU19" i="2"/>
  <c r="S9" i="28" s="1"/>
  <c r="AU43" i="2"/>
  <c r="AU33" i="2"/>
  <c r="AU25" i="2"/>
  <c r="AU42" i="2"/>
  <c r="AU31" i="2"/>
  <c r="AU23" i="2"/>
  <c r="AU53" i="2"/>
  <c r="S36" i="28" s="1"/>
  <c r="AU40" i="2"/>
  <c r="AU30" i="2"/>
  <c r="AU66" i="2"/>
  <c r="AU64" i="2"/>
  <c r="AU58" i="2"/>
  <c r="AU21" i="2"/>
  <c r="S25" i="28" s="1"/>
  <c r="AU32" i="2"/>
  <c r="AU17" i="2"/>
  <c r="AU56" i="2"/>
  <c r="S65" i="28" s="1"/>
  <c r="AU45" i="2"/>
  <c r="S27" i="28" s="1"/>
  <c r="AU27" i="2"/>
  <c r="AU34" i="2"/>
  <c r="S31" i="28" s="1"/>
  <c r="AU63" i="2"/>
  <c r="AU59" i="2"/>
  <c r="S67" i="28" s="1"/>
  <c r="AU60" i="2"/>
  <c r="S28" i="28" s="1"/>
  <c r="AU55" i="2"/>
  <c r="S45" i="28" s="1"/>
  <c r="AU24" i="2"/>
  <c r="AU18" i="2"/>
  <c r="S35" i="28" s="1"/>
  <c r="AU47" i="2"/>
  <c r="S71" i="28" s="1"/>
  <c r="AU62" i="2"/>
  <c r="S37" i="28" s="1"/>
  <c r="Y3" i="28"/>
  <c r="B11" i="14"/>
  <c r="T10" i="25"/>
  <c r="N9" i="14" s="1"/>
  <c r="O10" i="15" s="1"/>
  <c r="B11" i="25"/>
  <c r="T10" i="24"/>
  <c r="N29" i="13" s="1"/>
  <c r="O45" i="15" s="1"/>
  <c r="T13" i="22"/>
  <c r="N27" i="13" s="1"/>
  <c r="B14" i="22"/>
  <c r="C13" i="22" s="1"/>
  <c r="AU10" i="2"/>
  <c r="S13" i="28" s="1"/>
  <c r="AU9" i="2"/>
  <c r="S7" i="28" s="1"/>
  <c r="AU8" i="2"/>
  <c r="AU11" i="2"/>
  <c r="S15" i="28" s="1"/>
  <c r="U8" i="2"/>
  <c r="C7" i="20"/>
  <c r="C8" i="25"/>
  <c r="C10" i="20"/>
  <c r="C9" i="20"/>
  <c r="C8" i="20"/>
  <c r="O21" i="15" l="1"/>
  <c r="C12" i="23"/>
  <c r="M43" i="28"/>
  <c r="AT15" i="2"/>
  <c r="C10" i="23"/>
  <c r="O43" i="15"/>
  <c r="Z4" i="24"/>
  <c r="C9" i="24"/>
  <c r="B13" i="24"/>
  <c r="C8" i="24" s="1"/>
  <c r="C11" i="24"/>
  <c r="T12" i="24"/>
  <c r="N33" i="13" s="1"/>
  <c r="O54" i="15" s="1"/>
  <c r="S21" i="28"/>
  <c r="R14" i="24"/>
  <c r="S72" i="28"/>
  <c r="R11" i="24"/>
  <c r="S53" i="28"/>
  <c r="R12" i="24"/>
  <c r="S54" i="28"/>
  <c r="R9" i="24"/>
  <c r="O54" i="28"/>
  <c r="N9" i="24"/>
  <c r="N72" i="28"/>
  <c r="M11" i="24"/>
  <c r="M53" i="28"/>
  <c r="L12" i="24"/>
  <c r="Q54" i="28"/>
  <c r="P9" i="24"/>
  <c r="P72" i="28"/>
  <c r="O11" i="24"/>
  <c r="Q72" i="28"/>
  <c r="P11" i="24"/>
  <c r="M23" i="23"/>
  <c r="M16" i="23"/>
  <c r="P23" i="23"/>
  <c r="P16" i="23"/>
  <c r="S18" i="28"/>
  <c r="R10" i="23"/>
  <c r="S14" i="28"/>
  <c r="R7" i="23"/>
  <c r="S17" i="28"/>
  <c r="R21" i="23"/>
  <c r="S19" i="28"/>
  <c r="R12" i="23"/>
  <c r="S22" i="28"/>
  <c r="R11" i="23"/>
  <c r="S75" i="28"/>
  <c r="R26" i="23"/>
  <c r="S56" i="28"/>
  <c r="R22" i="23"/>
  <c r="S51" i="28"/>
  <c r="R18" i="23"/>
  <c r="S74" i="28"/>
  <c r="R25" i="23"/>
  <c r="S26" i="28"/>
  <c r="R19" i="23"/>
  <c r="S55" i="28"/>
  <c r="R17" i="23"/>
  <c r="S20" i="28"/>
  <c r="R9" i="23"/>
  <c r="S23" i="28"/>
  <c r="R8" i="23"/>
  <c r="S38" i="28"/>
  <c r="R15" i="23"/>
  <c r="S40" i="28"/>
  <c r="R20" i="23"/>
  <c r="S50" i="28"/>
  <c r="R13" i="23"/>
  <c r="S24" i="28"/>
  <c r="R24" i="23"/>
  <c r="O38" i="28"/>
  <c r="N15" i="23"/>
  <c r="N55" i="28"/>
  <c r="M17" i="23"/>
  <c r="Q19" i="28"/>
  <c r="P12" i="23"/>
  <c r="M55" i="28"/>
  <c r="L17" i="23"/>
  <c r="M23" i="28"/>
  <c r="L8" i="23"/>
  <c r="M50" i="28"/>
  <c r="L13" i="23"/>
  <c r="Q14" i="28"/>
  <c r="P7" i="23"/>
  <c r="Q23" i="28"/>
  <c r="P8" i="23"/>
  <c r="O55" i="28"/>
  <c r="N17" i="23"/>
  <c r="M26" i="28"/>
  <c r="L19" i="23"/>
  <c r="Q51" i="28"/>
  <c r="P18" i="23"/>
  <c r="N14" i="28"/>
  <c r="M7" i="23"/>
  <c r="O14" i="28"/>
  <c r="N7" i="23"/>
  <c r="O23" i="28"/>
  <c r="N8" i="23"/>
  <c r="M22" i="28"/>
  <c r="L11" i="23"/>
  <c r="N19" i="28"/>
  <c r="M12" i="23"/>
  <c r="M17" i="28"/>
  <c r="L21" i="23"/>
  <c r="M56" i="28"/>
  <c r="L22" i="23"/>
  <c r="M38" i="28"/>
  <c r="L15" i="23"/>
  <c r="O20" i="28"/>
  <c r="N9" i="23"/>
  <c r="M40" i="28"/>
  <c r="L20" i="23"/>
  <c r="P19" i="28"/>
  <c r="O12" i="23"/>
  <c r="P20" i="28"/>
  <c r="O9" i="23"/>
  <c r="P51" i="28"/>
  <c r="O18" i="23"/>
  <c r="O23" i="23"/>
  <c r="Q23" i="23"/>
  <c r="P23" i="28"/>
  <c r="O8" i="23"/>
  <c r="N23" i="28"/>
  <c r="M8" i="23"/>
  <c r="Q22" i="28"/>
  <c r="P11" i="23"/>
  <c r="Z4" i="23"/>
  <c r="B13" i="23"/>
  <c r="C11" i="23"/>
  <c r="T12" i="23"/>
  <c r="S44" i="28"/>
  <c r="R23" i="23"/>
  <c r="O44" i="28"/>
  <c r="N23" i="23"/>
  <c r="M44" i="28"/>
  <c r="L23" i="23"/>
  <c r="S42" i="28"/>
  <c r="R11" i="22"/>
  <c r="O42" i="28"/>
  <c r="N11" i="22"/>
  <c r="Q42" i="28"/>
  <c r="P11" i="22"/>
  <c r="S64" i="28"/>
  <c r="R8" i="33"/>
  <c r="S32" i="28"/>
  <c r="R12" i="20"/>
  <c r="S69" i="28"/>
  <c r="R11" i="20"/>
  <c r="M32" i="28"/>
  <c r="L12" i="20"/>
  <c r="P69" i="28"/>
  <c r="O11" i="20"/>
  <c r="M69" i="28"/>
  <c r="L11" i="20"/>
  <c r="S58" i="28"/>
  <c r="R17" i="3"/>
  <c r="AT8" i="2"/>
  <c r="W39" i="2"/>
  <c r="N20" i="28"/>
  <c r="R52" i="2"/>
  <c r="M47" i="28"/>
  <c r="AL29" i="2"/>
  <c r="Q40" i="28"/>
  <c r="R35" i="2"/>
  <c r="M24" i="28"/>
  <c r="W46" i="2"/>
  <c r="N42" i="28"/>
  <c r="W19" i="2"/>
  <c r="N9" i="28"/>
  <c r="W12" i="2"/>
  <c r="N34" i="28"/>
  <c r="W26" i="2"/>
  <c r="N46" i="28"/>
  <c r="AL35" i="2"/>
  <c r="Q24" i="28"/>
  <c r="L7" i="22"/>
  <c r="M54" i="28"/>
  <c r="M7" i="22"/>
  <c r="N54" i="28"/>
  <c r="R43" i="2"/>
  <c r="M51" i="28"/>
  <c r="AG57" i="2"/>
  <c r="P33" i="28"/>
  <c r="W30" i="2"/>
  <c r="N17" i="28"/>
  <c r="R51" i="2"/>
  <c r="M68" i="28"/>
  <c r="AG29" i="2"/>
  <c r="P40" i="28"/>
  <c r="AG56" i="2"/>
  <c r="P65" i="28"/>
  <c r="W57" i="2"/>
  <c r="N33" i="28"/>
  <c r="R24" i="2"/>
  <c r="M21" i="28"/>
  <c r="AG48" i="2"/>
  <c r="P44" i="28"/>
  <c r="AQ15" i="2"/>
  <c r="R43" i="28"/>
  <c r="AQ60" i="2"/>
  <c r="R28" i="28"/>
  <c r="AQ58" i="2"/>
  <c r="R64" i="28"/>
  <c r="AQ37" i="2"/>
  <c r="R50" i="28"/>
  <c r="AQ32" i="2"/>
  <c r="R14" i="28"/>
  <c r="AQ16" i="2"/>
  <c r="R73" i="28"/>
  <c r="AQ54" i="2"/>
  <c r="R41" i="28"/>
  <c r="AQ75" i="2"/>
  <c r="R58" i="28"/>
  <c r="AQ73" i="2"/>
  <c r="R70" i="28"/>
  <c r="R68" i="2"/>
  <c r="M59" i="28"/>
  <c r="AQ39" i="2"/>
  <c r="R20" i="28"/>
  <c r="R74" i="2"/>
  <c r="M63" i="28"/>
  <c r="AG24" i="2"/>
  <c r="P21" i="28"/>
  <c r="W76" i="2"/>
  <c r="N49" i="28"/>
  <c r="R75" i="2"/>
  <c r="M58" i="28"/>
  <c r="AQ74" i="2"/>
  <c r="R63" i="28"/>
  <c r="AL37" i="2"/>
  <c r="Q50" i="28"/>
  <c r="AB56" i="2"/>
  <c r="O65" i="28"/>
  <c r="AB45" i="2"/>
  <c r="O27" i="28"/>
  <c r="AL19" i="2"/>
  <c r="Q9" i="28"/>
  <c r="AL61" i="2"/>
  <c r="Q30" i="28"/>
  <c r="AB29" i="2"/>
  <c r="O40" i="28"/>
  <c r="W28" i="2"/>
  <c r="N26" i="28"/>
  <c r="AG28" i="2"/>
  <c r="P26" i="28"/>
  <c r="AB34" i="2"/>
  <c r="O31" i="28"/>
  <c r="AG20" i="2"/>
  <c r="P11" i="28"/>
  <c r="AB42" i="2"/>
  <c r="O75" i="28"/>
  <c r="AQ30" i="2"/>
  <c r="R17" i="28"/>
  <c r="AQ57" i="2"/>
  <c r="R33" i="28"/>
  <c r="AQ14" i="2"/>
  <c r="R12" i="28"/>
  <c r="AQ38" i="2"/>
  <c r="R55" i="28"/>
  <c r="AQ48" i="2"/>
  <c r="R44" i="28"/>
  <c r="AQ31" i="2"/>
  <c r="R22" i="28"/>
  <c r="W68" i="2"/>
  <c r="N59" i="28"/>
  <c r="AQ21" i="2"/>
  <c r="R25" i="28"/>
  <c r="AL76" i="2"/>
  <c r="Q49" i="28"/>
  <c r="AL74" i="2"/>
  <c r="Q63" i="28"/>
  <c r="AQ71" i="2"/>
  <c r="R57" i="28"/>
  <c r="AQ36" i="2"/>
  <c r="R74" i="28"/>
  <c r="AQ77" i="2"/>
  <c r="R62" i="28"/>
  <c r="AL39" i="2"/>
  <c r="Q20" i="28"/>
  <c r="AQ51" i="2"/>
  <c r="R68" i="28"/>
  <c r="W72" i="2"/>
  <c r="N60" i="28"/>
  <c r="R77" i="2"/>
  <c r="M62" i="28"/>
  <c r="AQ61" i="2"/>
  <c r="R30" i="28"/>
  <c r="AL75" i="2"/>
  <c r="Q58" i="28"/>
  <c r="R12" i="25"/>
  <c r="S29" i="28"/>
  <c r="AL13" i="2"/>
  <c r="Q52" i="28"/>
  <c r="AB57" i="2"/>
  <c r="O33" i="28"/>
  <c r="W47" i="2"/>
  <c r="N71" i="28"/>
  <c r="W56" i="2"/>
  <c r="N65" i="28"/>
  <c r="R46" i="2"/>
  <c r="M42" i="28"/>
  <c r="R45" i="2"/>
  <c r="M27" i="28"/>
  <c r="O7" i="22"/>
  <c r="P54" i="28"/>
  <c r="AB28" i="2"/>
  <c r="O26" i="28"/>
  <c r="AL25" i="2"/>
  <c r="Q53" i="28"/>
  <c r="AB35" i="2"/>
  <c r="O24" i="28"/>
  <c r="W13" i="2"/>
  <c r="N52" i="28"/>
  <c r="W45" i="2"/>
  <c r="N27" i="28"/>
  <c r="R20" i="2"/>
  <c r="M11" i="28"/>
  <c r="AG60" i="2"/>
  <c r="P28" i="28"/>
  <c r="AG50" i="2"/>
  <c r="P16" i="28"/>
  <c r="AG42" i="2"/>
  <c r="P75" i="28"/>
  <c r="AL38" i="2"/>
  <c r="Q55" i="28"/>
  <c r="AQ46" i="2"/>
  <c r="R42" i="28"/>
  <c r="AQ53" i="2"/>
  <c r="R36" i="28"/>
  <c r="AQ12" i="2"/>
  <c r="R34" i="28"/>
  <c r="AG12" i="2"/>
  <c r="P34" i="28"/>
  <c r="AQ64" i="2"/>
  <c r="R69" i="28"/>
  <c r="AQ47" i="2"/>
  <c r="R71" i="28"/>
  <c r="AQ67" i="2"/>
  <c r="R61" i="28"/>
  <c r="AG77" i="2"/>
  <c r="P62" i="28"/>
  <c r="AG75" i="2"/>
  <c r="P58" i="28"/>
  <c r="AL72" i="2"/>
  <c r="Q60" i="28"/>
  <c r="AQ45" i="2"/>
  <c r="R27" i="28"/>
  <c r="AQ65" i="2"/>
  <c r="R39" i="28"/>
  <c r="AQ20" i="2"/>
  <c r="R11" i="28"/>
  <c r="AB67" i="2"/>
  <c r="O61" i="28"/>
  <c r="AB26" i="2"/>
  <c r="O46" i="28"/>
  <c r="AQ18" i="2"/>
  <c r="R35" i="28"/>
  <c r="AG76" i="2"/>
  <c r="P49" i="28"/>
  <c r="W42" i="2"/>
  <c r="N75" i="28"/>
  <c r="W48" i="2"/>
  <c r="N44" i="28"/>
  <c r="AB24" i="2"/>
  <c r="O21" i="28"/>
  <c r="AB14" i="2"/>
  <c r="O12" i="28"/>
  <c r="AG49" i="2"/>
  <c r="P76" i="28"/>
  <c r="AL27" i="2"/>
  <c r="Q18" i="28"/>
  <c r="R12" i="2"/>
  <c r="M34" i="28"/>
  <c r="AG38" i="2"/>
  <c r="P55" i="28"/>
  <c r="W65" i="2"/>
  <c r="N39" i="28"/>
  <c r="AG58" i="2"/>
  <c r="P64" i="28"/>
  <c r="AQ19" i="2"/>
  <c r="R9" i="28"/>
  <c r="AQ62" i="2"/>
  <c r="R37" i="28"/>
  <c r="AQ41" i="2"/>
  <c r="R23" i="28"/>
  <c r="AQ27" i="2"/>
  <c r="R18" i="28"/>
  <c r="AG30" i="2"/>
  <c r="P17" i="28"/>
  <c r="AQ63" i="2"/>
  <c r="R32" i="28"/>
  <c r="AQ68" i="2"/>
  <c r="R59" i="28"/>
  <c r="AL68" i="2"/>
  <c r="Q59" i="28"/>
  <c r="AQ23" i="2"/>
  <c r="R72" i="28"/>
  <c r="AB76" i="2"/>
  <c r="O49" i="28"/>
  <c r="AG73" i="2"/>
  <c r="P70" i="28"/>
  <c r="AQ9" i="2"/>
  <c r="R7" i="28"/>
  <c r="AQ76" i="2"/>
  <c r="R49" i="28"/>
  <c r="R32" i="2"/>
  <c r="M14" i="28"/>
  <c r="R69" i="2"/>
  <c r="M48" i="28"/>
  <c r="AL67" i="2"/>
  <c r="Q61" i="28"/>
  <c r="AB77" i="2"/>
  <c r="O62" i="28"/>
  <c r="AB12" i="2"/>
  <c r="O34" i="28"/>
  <c r="AL57" i="2"/>
  <c r="Q33" i="28"/>
  <c r="AG37" i="2"/>
  <c r="P50" i="28"/>
  <c r="AB25" i="2"/>
  <c r="O53" i="28"/>
  <c r="AB33" i="2"/>
  <c r="O56" i="28"/>
  <c r="AL52" i="2"/>
  <c r="Q47" i="28"/>
  <c r="AB64" i="2"/>
  <c r="O69" i="28"/>
  <c r="W37" i="2"/>
  <c r="N50" i="28"/>
  <c r="W44" i="2"/>
  <c r="N38" i="28"/>
  <c r="W27" i="2"/>
  <c r="N18" i="28"/>
  <c r="W31" i="2"/>
  <c r="N22" i="28"/>
  <c r="R58" i="2"/>
  <c r="M64" i="28"/>
  <c r="AL20" i="2"/>
  <c r="Q11" i="28"/>
  <c r="AB40" i="2"/>
  <c r="O19" i="28"/>
  <c r="AB15" i="2"/>
  <c r="O43" i="28"/>
  <c r="AG18" i="2"/>
  <c r="P35" i="28"/>
  <c r="AB19" i="2"/>
  <c r="O9" i="28"/>
  <c r="AG35" i="2"/>
  <c r="P24" i="28"/>
  <c r="AQ34" i="2"/>
  <c r="R31" i="28"/>
  <c r="AQ29" i="2"/>
  <c r="R40" i="28"/>
  <c r="AQ43" i="2"/>
  <c r="R51" i="28"/>
  <c r="AG46" i="2"/>
  <c r="P42" i="28"/>
  <c r="W15" i="2"/>
  <c r="N43" i="28"/>
  <c r="W69" i="2"/>
  <c r="N48" i="28"/>
  <c r="AG69" i="2"/>
  <c r="P48" i="28"/>
  <c r="AQ55" i="2"/>
  <c r="R45" i="28"/>
  <c r="W77" i="2"/>
  <c r="N62" i="28"/>
  <c r="AB74" i="2"/>
  <c r="O63" i="28"/>
  <c r="AL70" i="2"/>
  <c r="Q66" i="28"/>
  <c r="AL77" i="2"/>
  <c r="Q62" i="28"/>
  <c r="AQ72" i="2"/>
  <c r="R60" i="28"/>
  <c r="AQ70" i="2"/>
  <c r="R66" i="28"/>
  <c r="AG68" i="2"/>
  <c r="P59" i="28"/>
  <c r="R67" i="2"/>
  <c r="M61" i="28"/>
  <c r="R15" i="3"/>
  <c r="S10" i="28"/>
  <c r="AB49" i="2"/>
  <c r="O76" i="28"/>
  <c r="W43" i="2"/>
  <c r="N51" i="28"/>
  <c r="W50" i="2"/>
  <c r="N16" i="28"/>
  <c r="W58" i="2"/>
  <c r="N64" i="28"/>
  <c r="W24" i="2"/>
  <c r="N21" i="28"/>
  <c r="W64" i="2"/>
  <c r="N69" i="28"/>
  <c r="AL64" i="2"/>
  <c r="Q69" i="28"/>
  <c r="AB36" i="2"/>
  <c r="O74" i="28"/>
  <c r="R39" i="2"/>
  <c r="M20" i="28"/>
  <c r="AG36" i="2"/>
  <c r="P74" i="28"/>
  <c r="AB50" i="2"/>
  <c r="O16" i="28"/>
  <c r="AG51" i="2"/>
  <c r="P68" i="28"/>
  <c r="AQ50" i="2"/>
  <c r="R16" i="28"/>
  <c r="AQ13" i="2"/>
  <c r="R52" i="28"/>
  <c r="AQ11" i="2"/>
  <c r="R15" i="28"/>
  <c r="AQ59" i="2"/>
  <c r="R67" i="28"/>
  <c r="AG62" i="2"/>
  <c r="P37" i="28"/>
  <c r="R40" i="2"/>
  <c r="M19" i="28"/>
  <c r="R14" i="2"/>
  <c r="M12" i="28"/>
  <c r="AB70" i="2"/>
  <c r="O66" i="28"/>
  <c r="AG67" i="2"/>
  <c r="P61" i="28"/>
  <c r="AL69" i="2"/>
  <c r="Q48" i="28"/>
  <c r="W75" i="2"/>
  <c r="N58" i="28"/>
  <c r="AG71" i="2"/>
  <c r="P57" i="28"/>
  <c r="AQ24" i="2"/>
  <c r="R21" i="28"/>
  <c r="AL73" i="2"/>
  <c r="Q70" i="28"/>
  <c r="AL71" i="2"/>
  <c r="Q57" i="28"/>
  <c r="AB69" i="2"/>
  <c r="O48" i="28"/>
  <c r="R73" i="2"/>
  <c r="M70" i="28"/>
  <c r="AB23" i="2"/>
  <c r="O72" i="28"/>
  <c r="AL56" i="2"/>
  <c r="Q65" i="28"/>
  <c r="AB43" i="2"/>
  <c r="O51" i="28"/>
  <c r="AL48" i="2"/>
  <c r="Q44" i="28"/>
  <c r="AG52" i="2"/>
  <c r="P47" i="28"/>
  <c r="R56" i="2"/>
  <c r="M65" i="28"/>
  <c r="AG14" i="2"/>
  <c r="P12" i="28"/>
  <c r="AQ66" i="2"/>
  <c r="R29" i="28"/>
  <c r="AQ28" i="2"/>
  <c r="R26" i="28"/>
  <c r="AQ26" i="2"/>
  <c r="R46" i="28"/>
  <c r="AQ40" i="2"/>
  <c r="R19" i="28"/>
  <c r="W25" i="2"/>
  <c r="N53" i="28"/>
  <c r="AQ69" i="2"/>
  <c r="R48" i="28"/>
  <c r="W71" i="2"/>
  <c r="N57" i="28"/>
  <c r="AB68" i="2"/>
  <c r="O59" i="28"/>
  <c r="AG70" i="2"/>
  <c r="P66" i="28"/>
  <c r="R76" i="2"/>
  <c r="M49" i="28"/>
  <c r="AB72" i="2"/>
  <c r="O60" i="28"/>
  <c r="AQ52" i="2"/>
  <c r="R47" i="28"/>
  <c r="AQ33" i="2"/>
  <c r="R56" i="28"/>
  <c r="AB73" i="2"/>
  <c r="O70" i="28"/>
  <c r="AG74" i="2"/>
  <c r="P63" i="28"/>
  <c r="AG72" i="2"/>
  <c r="P60" i="28"/>
  <c r="W70" i="2"/>
  <c r="N66" i="28"/>
  <c r="AG47" i="2"/>
  <c r="P71" i="28"/>
  <c r="R27" i="2"/>
  <c r="M18" i="28"/>
  <c r="W36" i="2"/>
  <c r="N74" i="28"/>
  <c r="AB30" i="2"/>
  <c r="O17" i="28"/>
  <c r="AB37" i="2"/>
  <c r="O50" i="28"/>
  <c r="AL24" i="2"/>
  <c r="Q21" i="28"/>
  <c r="AB27" i="2"/>
  <c r="O18" i="28"/>
  <c r="W51" i="2"/>
  <c r="N68" i="28"/>
  <c r="AL33" i="2"/>
  <c r="Q56" i="28"/>
  <c r="R23" i="2"/>
  <c r="M72" i="28"/>
  <c r="AL44" i="2"/>
  <c r="Q38" i="28"/>
  <c r="R36" i="2"/>
  <c r="M74" i="28"/>
  <c r="AB31" i="2"/>
  <c r="O22" i="28"/>
  <c r="W52" i="2"/>
  <c r="N47" i="28"/>
  <c r="AG25" i="2"/>
  <c r="P53" i="28"/>
  <c r="R61" i="2"/>
  <c r="M30" i="28"/>
  <c r="AB61" i="2"/>
  <c r="O30" i="28"/>
  <c r="W33" i="2"/>
  <c r="N56" i="28"/>
  <c r="AG32" i="2"/>
  <c r="P14" i="28"/>
  <c r="AG27" i="2"/>
  <c r="P18" i="28"/>
  <c r="AG44" i="2"/>
  <c r="P38" i="28"/>
  <c r="AQ10" i="2"/>
  <c r="R13" i="28"/>
  <c r="AQ44" i="2"/>
  <c r="R38" i="28"/>
  <c r="AQ42" i="2"/>
  <c r="R75" i="28"/>
  <c r="AQ56" i="2"/>
  <c r="R65" i="28"/>
  <c r="AQ17" i="2"/>
  <c r="R10" i="28"/>
  <c r="AG13" i="2"/>
  <c r="P52" i="28"/>
  <c r="W67" i="2"/>
  <c r="N61" i="28"/>
  <c r="AQ22" i="2"/>
  <c r="R54" i="28"/>
  <c r="R72" i="2"/>
  <c r="M60" i="28"/>
  <c r="R70" i="2"/>
  <c r="M66" i="28"/>
  <c r="AB71" i="2"/>
  <c r="O57" i="28"/>
  <c r="AQ8" i="2"/>
  <c r="R8" i="28"/>
  <c r="W73" i="2"/>
  <c r="N70" i="28"/>
  <c r="AQ25" i="2"/>
  <c r="R53" i="28"/>
  <c r="AB58" i="2"/>
  <c r="O64" i="28"/>
  <c r="AQ35" i="2"/>
  <c r="R24" i="28"/>
  <c r="AB75" i="2"/>
  <c r="O58" i="28"/>
  <c r="W74" i="2"/>
  <c r="N63" i="28"/>
  <c r="R71" i="2"/>
  <c r="M57" i="28"/>
  <c r="AQ49" i="2"/>
  <c r="R76" i="28"/>
  <c r="AT74" i="2"/>
  <c r="AV74" i="2" s="1"/>
  <c r="T63" i="28" s="1"/>
  <c r="AT77" i="2"/>
  <c r="AV77" i="2" s="1"/>
  <c r="T62" i="28" s="1"/>
  <c r="AT71" i="2"/>
  <c r="AV71" i="2" s="1"/>
  <c r="T57" i="28" s="1"/>
  <c r="AT72" i="2"/>
  <c r="AV72" i="2" s="1"/>
  <c r="T60" i="28" s="1"/>
  <c r="AT68" i="2"/>
  <c r="AV68" i="2" s="1"/>
  <c r="T59" i="28" s="1"/>
  <c r="AT70" i="2"/>
  <c r="AV70" i="2" s="1"/>
  <c r="T66" i="28" s="1"/>
  <c r="AT76" i="2"/>
  <c r="AV76" i="2" s="1"/>
  <c r="T49" i="28" s="1"/>
  <c r="T70" i="28"/>
  <c r="AT67" i="2"/>
  <c r="AV67" i="2" s="1"/>
  <c r="T61" i="28" s="1"/>
  <c r="AT69" i="2"/>
  <c r="AV69" i="2" s="1"/>
  <c r="T48" i="28" s="1"/>
  <c r="P17" i="25"/>
  <c r="R7" i="33"/>
  <c r="R16" i="22"/>
  <c r="R9" i="33"/>
  <c r="R7" i="22"/>
  <c r="P8" i="28"/>
  <c r="AG64" i="2"/>
  <c r="AG55" i="2"/>
  <c r="M8" i="25"/>
  <c r="P11" i="25"/>
  <c r="AG17" i="2"/>
  <c r="AG39" i="2"/>
  <c r="N8" i="25"/>
  <c r="O14" i="25"/>
  <c r="L16" i="25"/>
  <c r="M17" i="25"/>
  <c r="N7" i="24"/>
  <c r="P14" i="22"/>
  <c r="L10" i="20"/>
  <c r="AG59" i="2"/>
  <c r="L9" i="22"/>
  <c r="M7" i="25"/>
  <c r="AG21" i="2"/>
  <c r="O7" i="33"/>
  <c r="L9" i="25"/>
  <c r="Q9" i="33"/>
  <c r="P7" i="33"/>
  <c r="W22" i="2"/>
  <c r="M9" i="33"/>
  <c r="AL22" i="2"/>
  <c r="P9" i="33"/>
  <c r="Q7" i="33"/>
  <c r="AB21" i="2"/>
  <c r="N7" i="33"/>
  <c r="L14" i="25"/>
  <c r="M16" i="25"/>
  <c r="P13" i="22"/>
  <c r="L11" i="25"/>
  <c r="AV8" i="2"/>
  <c r="L14" i="3"/>
  <c r="R22" i="2"/>
  <c r="L9" i="33"/>
  <c r="AG22" i="2"/>
  <c r="O9" i="33"/>
  <c r="M15" i="3"/>
  <c r="O12" i="25"/>
  <c r="L10" i="25"/>
  <c r="L15" i="3"/>
  <c r="AB22" i="2"/>
  <c r="N9" i="33"/>
  <c r="W21" i="2"/>
  <c r="M7" i="33"/>
  <c r="L15" i="22"/>
  <c r="P15" i="25"/>
  <c r="O10" i="25"/>
  <c r="L7" i="33"/>
  <c r="AB66" i="2"/>
  <c r="N12" i="25"/>
  <c r="C11" i="25"/>
  <c r="M11" i="3"/>
  <c r="M7" i="3"/>
  <c r="O11" i="3"/>
  <c r="L7" i="3"/>
  <c r="N7" i="3"/>
  <c r="O14" i="23"/>
  <c r="R13" i="22"/>
  <c r="R19" i="2"/>
  <c r="L13" i="24"/>
  <c r="C11" i="32"/>
  <c r="T11" i="32"/>
  <c r="B12" i="32"/>
  <c r="L17" i="25"/>
  <c r="P12" i="3"/>
  <c r="R17" i="2"/>
  <c r="M9" i="22"/>
  <c r="AG23" i="2"/>
  <c r="O7" i="24"/>
  <c r="M10" i="20"/>
  <c r="Q8" i="28"/>
  <c r="L8" i="3"/>
  <c r="L7" i="20"/>
  <c r="L10" i="22"/>
  <c r="L14" i="22"/>
  <c r="N14" i="25"/>
  <c r="N9" i="25"/>
  <c r="R59" i="2"/>
  <c r="M8" i="28"/>
  <c r="R17" i="25"/>
  <c r="W18" i="2"/>
  <c r="O15" i="25"/>
  <c r="R64" i="2"/>
  <c r="M8" i="24"/>
  <c r="M13" i="22"/>
  <c r="R48" i="2"/>
  <c r="W41" i="2"/>
  <c r="W63" i="2"/>
  <c r="O14" i="3"/>
  <c r="M7" i="20"/>
  <c r="W49" i="2"/>
  <c r="AG66" i="2"/>
  <c r="M12" i="3"/>
  <c r="O8" i="22"/>
  <c r="O10" i="24"/>
  <c r="O10" i="22"/>
  <c r="N9" i="20"/>
  <c r="AG41" i="2"/>
  <c r="M9" i="20"/>
  <c r="N8" i="22"/>
  <c r="O12" i="22"/>
  <c r="N13" i="22"/>
  <c r="R12" i="3"/>
  <c r="O8" i="3"/>
  <c r="O10" i="20"/>
  <c r="L14" i="23"/>
  <c r="M8" i="22"/>
  <c r="M10" i="24"/>
  <c r="R8" i="24"/>
  <c r="L9" i="20"/>
  <c r="P7" i="24"/>
  <c r="O13" i="22"/>
  <c r="N12" i="22"/>
  <c r="W60" i="2"/>
  <c r="R14" i="22"/>
  <c r="M12" i="22"/>
  <c r="R8" i="25"/>
  <c r="N8" i="3"/>
  <c r="R13" i="25"/>
  <c r="R13" i="24"/>
  <c r="R9" i="20"/>
  <c r="R9" i="22"/>
  <c r="P14" i="23"/>
  <c r="R7" i="25"/>
  <c r="AL60" i="2"/>
  <c r="AB54" i="2"/>
  <c r="R54" i="2"/>
  <c r="W54" i="2"/>
  <c r="AG54" i="2"/>
  <c r="AG53" i="2"/>
  <c r="P16" i="25"/>
  <c r="AB53" i="2"/>
  <c r="R60" i="2"/>
  <c r="AB17" i="2"/>
  <c r="N10" i="25"/>
  <c r="AL17" i="2"/>
  <c r="P10" i="25"/>
  <c r="AG16" i="2"/>
  <c r="O9" i="20"/>
  <c r="O7" i="3"/>
  <c r="R10" i="24"/>
  <c r="R8" i="20"/>
  <c r="R7" i="20"/>
  <c r="M15" i="25"/>
  <c r="R11" i="25"/>
  <c r="R10" i="22"/>
  <c r="R10" i="25"/>
  <c r="R7" i="3"/>
  <c r="R14" i="3"/>
  <c r="R15" i="25"/>
  <c r="R16" i="25"/>
  <c r="P9" i="25"/>
  <c r="R9" i="25"/>
  <c r="R10" i="20"/>
  <c r="R12" i="22"/>
  <c r="R14" i="25"/>
  <c r="AB59" i="2"/>
  <c r="AL53" i="2"/>
  <c r="AB60" i="2"/>
  <c r="W17" i="2"/>
  <c r="M10" i="25"/>
  <c r="AT17" i="2"/>
  <c r="AV17" i="2" s="1"/>
  <c r="AT61" i="2"/>
  <c r="AV61" i="2" s="1"/>
  <c r="T30" i="28" s="1"/>
  <c r="T43" i="28"/>
  <c r="AT52" i="2"/>
  <c r="AV52" i="2" s="1"/>
  <c r="T47" i="28" s="1"/>
  <c r="AG26" i="2"/>
  <c r="AT62" i="2"/>
  <c r="AV62" i="2" s="1"/>
  <c r="T37" i="28" s="1"/>
  <c r="AT46" i="2"/>
  <c r="AV46" i="2" s="1"/>
  <c r="AT32" i="2"/>
  <c r="AV32" i="2" s="1"/>
  <c r="AT66" i="2"/>
  <c r="AV66" i="2" s="1"/>
  <c r="AT47" i="2"/>
  <c r="AV47" i="2" s="1"/>
  <c r="T71" i="28" s="1"/>
  <c r="AT22" i="2"/>
  <c r="AV22" i="2" s="1"/>
  <c r="S9" i="24" s="1"/>
  <c r="AT48" i="2"/>
  <c r="AV48" i="2" s="1"/>
  <c r="S16" i="23" s="1"/>
  <c r="M24" i="13" s="1"/>
  <c r="R47" i="2"/>
  <c r="AT40" i="2"/>
  <c r="AV40" i="2" s="1"/>
  <c r="AT56" i="2"/>
  <c r="AV56" i="2" s="1"/>
  <c r="T65" i="28" s="1"/>
  <c r="AT65" i="2"/>
  <c r="AV65" i="2" s="1"/>
  <c r="T39" i="28" s="1"/>
  <c r="AT31" i="2"/>
  <c r="AV31" i="2" s="1"/>
  <c r="R62" i="2"/>
  <c r="AT25" i="2"/>
  <c r="AV25" i="2" s="1"/>
  <c r="AT38" i="2"/>
  <c r="AV38" i="2" s="1"/>
  <c r="AT44" i="2"/>
  <c r="AV44" i="2" s="1"/>
  <c r="T45" i="28"/>
  <c r="AT57" i="2"/>
  <c r="AV57" i="2" s="1"/>
  <c r="T33" i="28" s="1"/>
  <c r="T34" i="28"/>
  <c r="AT58" i="2"/>
  <c r="AV58" i="2" s="1"/>
  <c r="AT14" i="2"/>
  <c r="AV14" i="2" s="1"/>
  <c r="T12" i="28" s="1"/>
  <c r="AT19" i="2"/>
  <c r="AV19" i="2" s="1"/>
  <c r="T9" i="28" s="1"/>
  <c r="AT51" i="2"/>
  <c r="AV51" i="2" s="1"/>
  <c r="T68" i="28" s="1"/>
  <c r="T67" i="28"/>
  <c r="AT41" i="2"/>
  <c r="AV41" i="2" s="1"/>
  <c r="R65" i="2"/>
  <c r="AT21" i="2"/>
  <c r="AV21" i="2" s="1"/>
  <c r="AT23" i="2"/>
  <c r="AV23" i="2" s="1"/>
  <c r="T15" i="28"/>
  <c r="R13" i="2"/>
  <c r="AT13" i="2"/>
  <c r="AV13" i="2" s="1"/>
  <c r="T52" i="28" s="1"/>
  <c r="AG15" i="2"/>
  <c r="AT64" i="2"/>
  <c r="AV64" i="2" s="1"/>
  <c r="AB13" i="2"/>
  <c r="AT26" i="2"/>
  <c r="AV26" i="2" s="1"/>
  <c r="T46" i="28" s="1"/>
  <c r="T76" i="28"/>
  <c r="R49" i="2"/>
  <c r="AT45" i="2"/>
  <c r="AV45" i="2" s="1"/>
  <c r="T27" i="28" s="1"/>
  <c r="T73" i="28"/>
  <c r="T35" i="28"/>
  <c r="AT27" i="2"/>
  <c r="AV27" i="2" s="1"/>
  <c r="R30" i="2"/>
  <c r="L8" i="22"/>
  <c r="AT53" i="2"/>
  <c r="AV53" i="2" s="1"/>
  <c r="T36" i="28" s="1"/>
  <c r="AT39" i="2"/>
  <c r="AV39" i="2" s="1"/>
  <c r="AT20" i="2"/>
  <c r="AV20" i="2" s="1"/>
  <c r="T11" i="28" s="1"/>
  <c r="AL50" i="2"/>
  <c r="AT37" i="2"/>
  <c r="AV37" i="2" s="1"/>
  <c r="AT43" i="2"/>
  <c r="AV43" i="2" s="1"/>
  <c r="R44" i="2"/>
  <c r="T31" i="28"/>
  <c r="AT50" i="2"/>
  <c r="AV50" i="2" s="1"/>
  <c r="T16" i="28" s="1"/>
  <c r="R50" i="2"/>
  <c r="AT54" i="2"/>
  <c r="AV54" i="2" s="1"/>
  <c r="T41" i="28" s="1"/>
  <c r="AT60" i="2"/>
  <c r="AV60" i="2" s="1"/>
  <c r="T28" i="28" s="1"/>
  <c r="AG34" i="2"/>
  <c r="R33" i="2"/>
  <c r="R18" i="2"/>
  <c r="L8" i="24"/>
  <c r="R57" i="2"/>
  <c r="M7" i="24"/>
  <c r="O12" i="3"/>
  <c r="AB62" i="2"/>
  <c r="W53" i="2"/>
  <c r="L15" i="25"/>
  <c r="AG61" i="2"/>
  <c r="AB39" i="2"/>
  <c r="AB41" i="2"/>
  <c r="R38" i="2"/>
  <c r="AG43" i="2"/>
  <c r="W14" i="2"/>
  <c r="AL42" i="2"/>
  <c r="W34" i="2"/>
  <c r="AB38" i="2"/>
  <c r="L17" i="22"/>
  <c r="R31" i="2"/>
  <c r="AG40" i="2"/>
  <c r="AB32" i="2"/>
  <c r="AG19" i="2"/>
  <c r="R63" i="2"/>
  <c r="R8" i="3"/>
  <c r="AL51" i="2"/>
  <c r="O9" i="25"/>
  <c r="R53" i="2"/>
  <c r="R8" i="22"/>
  <c r="AL55" i="2"/>
  <c r="AL34" i="2"/>
  <c r="AL32" i="2"/>
  <c r="P9" i="20"/>
  <c r="AL21" i="2"/>
  <c r="R41" i="2"/>
  <c r="AB63" i="2"/>
  <c r="W23" i="2"/>
  <c r="AL62" i="2"/>
  <c r="R16" i="2"/>
  <c r="P10" i="24"/>
  <c r="AG65" i="2"/>
  <c r="AG33" i="2"/>
  <c r="AL12" i="2"/>
  <c r="AL43" i="2"/>
  <c r="W66" i="2"/>
  <c r="R25" i="2"/>
  <c r="M9" i="25"/>
  <c r="AL28" i="2"/>
  <c r="M8" i="20"/>
  <c r="N10" i="20"/>
  <c r="L7" i="25"/>
  <c r="L7" i="24"/>
  <c r="P9" i="22"/>
  <c r="W55" i="2"/>
  <c r="W59" i="2"/>
  <c r="R21" i="2"/>
  <c r="AL49" i="2"/>
  <c r="P8" i="22"/>
  <c r="AG45" i="2"/>
  <c r="W38" i="2"/>
  <c r="R28" i="2"/>
  <c r="N14" i="3"/>
  <c r="W29" i="2"/>
  <c r="AL41" i="2"/>
  <c r="O8" i="28"/>
  <c r="N10" i="22"/>
  <c r="M14" i="25"/>
  <c r="P14" i="25"/>
  <c r="AL30" i="2"/>
  <c r="P8" i="25"/>
  <c r="P8" i="20"/>
  <c r="P14" i="3"/>
  <c r="L8" i="25"/>
  <c r="W16" i="2"/>
  <c r="N13" i="24"/>
  <c r="N14" i="23"/>
  <c r="P12" i="22"/>
  <c r="L10" i="24"/>
  <c r="AL63" i="2"/>
  <c r="N10" i="24"/>
  <c r="M14" i="23"/>
  <c r="R14" i="23"/>
  <c r="AL15" i="2"/>
  <c r="AL16" i="2"/>
  <c r="R29" i="2"/>
  <c r="M10" i="22"/>
  <c r="P8" i="24"/>
  <c r="AL58" i="2"/>
  <c r="P7" i="20"/>
  <c r="R7" i="24"/>
  <c r="R17" i="22"/>
  <c r="AB48" i="2"/>
  <c r="W40" i="2"/>
  <c r="R37" i="2"/>
  <c r="R15" i="22"/>
  <c r="AL23" i="2"/>
  <c r="R34" i="2"/>
  <c r="W62" i="2"/>
  <c r="N12" i="3"/>
  <c r="AL40" i="2"/>
  <c r="AB18" i="2"/>
  <c r="P15" i="22"/>
  <c r="AL31" i="2"/>
  <c r="AB44" i="2"/>
  <c r="L12" i="22"/>
  <c r="S8" i="28"/>
  <c r="P7" i="25"/>
  <c r="AB52" i="2"/>
  <c r="P10" i="20"/>
  <c r="R26" i="2"/>
  <c r="L8" i="20"/>
  <c r="P8" i="3"/>
  <c r="AB65" i="2"/>
  <c r="N11" i="3"/>
  <c r="N14" i="22"/>
  <c r="L13" i="22"/>
  <c r="AB47" i="2"/>
  <c r="R15" i="2"/>
  <c r="N7" i="25"/>
  <c r="L11" i="3"/>
  <c r="N11" i="25"/>
  <c r="R42" i="2"/>
  <c r="W32" i="2"/>
  <c r="P13" i="25"/>
  <c r="W35" i="2"/>
  <c r="O7" i="25"/>
  <c r="AB51" i="2"/>
  <c r="AL59" i="2"/>
  <c r="P10" i="22"/>
  <c r="AL66" i="2"/>
  <c r="AB16" i="2"/>
  <c r="AL46" i="2"/>
  <c r="AL65" i="2"/>
  <c r="L12" i="3"/>
  <c r="N15" i="25"/>
  <c r="AL26" i="2"/>
  <c r="R55" i="2"/>
  <c r="AL18" i="2"/>
  <c r="R11" i="3"/>
  <c r="AL14" i="2"/>
  <c r="P17" i="22"/>
  <c r="N9" i="22"/>
  <c r="P7" i="3"/>
  <c r="M8" i="3"/>
  <c r="AL36" i="2"/>
  <c r="AL45" i="2"/>
  <c r="AL54" i="2"/>
  <c r="W20" i="2"/>
  <c r="AB46" i="2"/>
  <c r="M14" i="3"/>
  <c r="N8" i="28"/>
  <c r="W61" i="2"/>
  <c r="AL47" i="2"/>
  <c r="R66" i="2"/>
  <c r="AB20" i="2"/>
  <c r="M17" i="22"/>
  <c r="P11" i="3"/>
  <c r="P13" i="24"/>
  <c r="AB55" i="2"/>
  <c r="W11" i="2"/>
  <c r="AG10" i="2"/>
  <c r="W9" i="2"/>
  <c r="W10" i="2"/>
  <c r="AL8" i="2"/>
  <c r="AB11" i="2"/>
  <c r="R11" i="2"/>
  <c r="R8" i="2"/>
  <c r="W8" i="2"/>
  <c r="AL9" i="2"/>
  <c r="R10" i="2"/>
  <c r="AG11" i="2"/>
  <c r="AL10" i="2"/>
  <c r="AG8" i="2"/>
  <c r="AB8" i="2"/>
  <c r="AB9" i="2"/>
  <c r="AG9" i="2"/>
  <c r="AB10" i="2"/>
  <c r="R9" i="2"/>
  <c r="AL11" i="2"/>
  <c r="Y4" i="28"/>
  <c r="L16" i="3"/>
  <c r="N8" i="24"/>
  <c r="P9" i="3"/>
  <c r="M9" i="3"/>
  <c r="O9" i="3"/>
  <c r="P13" i="3"/>
  <c r="L9" i="3"/>
  <c r="P16" i="3"/>
  <c r="N9" i="3"/>
  <c r="R16" i="3"/>
  <c r="R13" i="3"/>
  <c r="N13" i="3"/>
  <c r="O13" i="3"/>
  <c r="P10" i="3"/>
  <c r="M13" i="3"/>
  <c r="B12" i="14"/>
  <c r="T11" i="25"/>
  <c r="N10" i="14" s="1"/>
  <c r="O13" i="15" s="1"/>
  <c r="B12" i="25"/>
  <c r="C10" i="22"/>
  <c r="B15" i="22"/>
  <c r="T15" i="22" s="1"/>
  <c r="N32" i="13" s="1"/>
  <c r="T14" i="22"/>
  <c r="N31" i="13" s="1"/>
  <c r="AT10" i="2"/>
  <c r="AV10" i="2" s="1"/>
  <c r="T13" i="28" s="1"/>
  <c r="L13" i="3"/>
  <c r="O10" i="3"/>
  <c r="L13" i="25"/>
  <c r="AT9" i="2"/>
  <c r="AV9" i="2" s="1"/>
  <c r="T7" i="28" s="1"/>
  <c r="L10" i="3"/>
  <c r="R10" i="3"/>
  <c r="R9" i="3"/>
  <c r="N10" i="3"/>
  <c r="M16" i="3"/>
  <c r="M10" i="3"/>
  <c r="O14" i="22"/>
  <c r="O16" i="3"/>
  <c r="N7" i="20"/>
  <c r="N17" i="22"/>
  <c r="O15" i="22"/>
  <c r="N16" i="3"/>
  <c r="N15" i="22"/>
  <c r="M13" i="25"/>
  <c r="M15" i="22"/>
  <c r="O8" i="25"/>
  <c r="O7" i="20"/>
  <c r="O17" i="22"/>
  <c r="O8" i="20"/>
  <c r="O17" i="25"/>
  <c r="O13" i="24"/>
  <c r="M13" i="24"/>
  <c r="M11" i="25"/>
  <c r="M14" i="22"/>
  <c r="O11" i="25"/>
  <c r="N13" i="25"/>
  <c r="O13" i="25"/>
  <c r="O8" i="24"/>
  <c r="N17" i="25"/>
  <c r="N8" i="20"/>
  <c r="B1" i="16"/>
  <c r="B7" i="15"/>
  <c r="B7" i="13"/>
  <c r="O7" i="13" s="1"/>
  <c r="B7" i="12"/>
  <c r="C8" i="13"/>
  <c r="D8" i="13"/>
  <c r="C38" i="13"/>
  <c r="D38" i="13"/>
  <c r="C15" i="13"/>
  <c r="D15" i="13"/>
  <c r="C30" i="13"/>
  <c r="D30" i="13"/>
  <c r="C35" i="13"/>
  <c r="D35" i="13"/>
  <c r="C7" i="13"/>
  <c r="D7" i="13"/>
  <c r="C6" i="13"/>
  <c r="D6" i="13"/>
  <c r="C36" i="13"/>
  <c r="D36" i="13"/>
  <c r="C28" i="13"/>
  <c r="D28" i="13"/>
  <c r="D37" i="13"/>
  <c r="C37" i="13"/>
  <c r="D40" i="13"/>
  <c r="C40" i="13"/>
  <c r="D39" i="13"/>
  <c r="C39" i="13"/>
  <c r="D10" i="13"/>
  <c r="C10" i="13"/>
  <c r="D42" i="13"/>
  <c r="C42" i="13"/>
  <c r="D12" i="13"/>
  <c r="C12" i="13"/>
  <c r="D29" i="13"/>
  <c r="C29" i="13"/>
  <c r="D33" i="13"/>
  <c r="C33" i="13"/>
  <c r="D11" i="13"/>
  <c r="C11" i="13"/>
  <c r="D20" i="13"/>
  <c r="C20" i="13"/>
  <c r="D25" i="13"/>
  <c r="C25" i="13"/>
  <c r="D14" i="13"/>
  <c r="C14" i="13"/>
  <c r="D21" i="13"/>
  <c r="C21" i="13"/>
  <c r="D43" i="13"/>
  <c r="C43" i="13"/>
  <c r="D18" i="13"/>
  <c r="C18" i="13"/>
  <c r="D26" i="13"/>
  <c r="C26" i="13"/>
  <c r="D24" i="13"/>
  <c r="C24" i="13"/>
  <c r="D41" i="13"/>
  <c r="C41" i="13"/>
  <c r="D44" i="13"/>
  <c r="C44" i="13"/>
  <c r="V9" i="24" l="1"/>
  <c r="M28" i="13"/>
  <c r="O53" i="15"/>
  <c r="N12" i="13"/>
  <c r="N15" i="13"/>
  <c r="C12" i="25"/>
  <c r="O52" i="15"/>
  <c r="B16" i="22"/>
  <c r="C15" i="22"/>
  <c r="N30" i="13"/>
  <c r="O49" i="15" s="1"/>
  <c r="N28" i="13"/>
  <c r="B14" i="24"/>
  <c r="C13" i="24"/>
  <c r="T72" i="28"/>
  <c r="S11" i="24"/>
  <c r="M30" i="13" s="1"/>
  <c r="T21" i="28"/>
  <c r="S14" i="24"/>
  <c r="M36" i="13" s="1"/>
  <c r="T53" i="28"/>
  <c r="S12" i="24"/>
  <c r="M33" i="13" s="1"/>
  <c r="T26" i="28"/>
  <c r="S19" i="23"/>
  <c r="T51" i="28"/>
  <c r="S18" i="23"/>
  <c r="M26" i="13" s="1"/>
  <c r="T56" i="28"/>
  <c r="S22" i="23"/>
  <c r="T50" i="28"/>
  <c r="S13" i="23"/>
  <c r="M18" i="13" s="1"/>
  <c r="T20" i="28"/>
  <c r="S9" i="23"/>
  <c r="M11" i="13" s="1"/>
  <c r="T17" i="28"/>
  <c r="S21" i="23"/>
  <c r="T18" i="28"/>
  <c r="S10" i="23"/>
  <c r="M12" i="13" s="1"/>
  <c r="T24" i="28"/>
  <c r="S24" i="23"/>
  <c r="M42" i="13" s="1"/>
  <c r="T40" i="28"/>
  <c r="S20" i="23"/>
  <c r="T23" i="28"/>
  <c r="S8" i="23"/>
  <c r="M10" i="13" s="1"/>
  <c r="T74" i="28"/>
  <c r="S25" i="23"/>
  <c r="M43" i="13" s="1"/>
  <c r="R42" i="13" s="1"/>
  <c r="T38" i="28"/>
  <c r="S15" i="23"/>
  <c r="M21" i="13" s="1"/>
  <c r="T55" i="28"/>
  <c r="S17" i="23"/>
  <c r="M25" i="13" s="1"/>
  <c r="R24" i="13" s="1"/>
  <c r="T22" i="28"/>
  <c r="S11" i="23"/>
  <c r="M14" i="13" s="1"/>
  <c r="T19" i="28"/>
  <c r="S12" i="23"/>
  <c r="M15" i="13" s="1"/>
  <c r="R14" i="13" s="1"/>
  <c r="T14" i="28"/>
  <c r="S7" i="23"/>
  <c r="M8" i="13" s="1"/>
  <c r="T75" i="28"/>
  <c r="S26" i="23"/>
  <c r="M44" i="13" s="1"/>
  <c r="R43" i="13" s="1"/>
  <c r="B14" i="23"/>
  <c r="C7" i="23"/>
  <c r="T13" i="23"/>
  <c r="T44" i="28"/>
  <c r="S23" i="23"/>
  <c r="M41" i="13" s="1"/>
  <c r="T42" i="28"/>
  <c r="S11" i="22"/>
  <c r="T64" i="28"/>
  <c r="S8" i="33"/>
  <c r="M34" i="13" s="1"/>
  <c r="R33" i="13" s="1"/>
  <c r="T69" i="28"/>
  <c r="S11" i="20"/>
  <c r="T32" i="28"/>
  <c r="S12" i="20"/>
  <c r="T58" i="28"/>
  <c r="S17" i="3"/>
  <c r="S16" i="22"/>
  <c r="M45" i="13" s="1"/>
  <c r="R44" i="13" s="1"/>
  <c r="T25" i="28"/>
  <c r="S7" i="22"/>
  <c r="M9" i="13" s="1"/>
  <c r="M15" i="15" s="1"/>
  <c r="T54" i="28"/>
  <c r="S12" i="25"/>
  <c r="V12" i="25" s="1"/>
  <c r="T29" i="28"/>
  <c r="S15" i="3"/>
  <c r="V15" i="3" s="1"/>
  <c r="T10" i="28"/>
  <c r="V7" i="22"/>
  <c r="U58" i="28"/>
  <c r="U60" i="28"/>
  <c r="U61" i="28"/>
  <c r="U64" i="28"/>
  <c r="M24" i="15"/>
  <c r="S12" i="22"/>
  <c r="S8" i="22"/>
  <c r="M13" i="13" s="1"/>
  <c r="S13" i="24"/>
  <c r="M35" i="13" s="1"/>
  <c r="R34" i="13" s="1"/>
  <c r="S16" i="25"/>
  <c r="S7" i="20"/>
  <c r="S14" i="22"/>
  <c r="S12" i="3"/>
  <c r="M15" i="12" s="1"/>
  <c r="M46" i="15" s="1"/>
  <c r="M11" i="14"/>
  <c r="V16" i="23"/>
  <c r="M27" i="15"/>
  <c r="S7" i="33"/>
  <c r="M16" i="13" s="1"/>
  <c r="R15" i="13" s="1"/>
  <c r="S10" i="22"/>
  <c r="S9" i="33"/>
  <c r="M47" i="13" s="1"/>
  <c r="S7" i="3"/>
  <c r="T12" i="32"/>
  <c r="C12" i="32"/>
  <c r="V62" i="28"/>
  <c r="M17" i="15"/>
  <c r="S14" i="25"/>
  <c r="U62" i="28"/>
  <c r="S8" i="3"/>
  <c r="T8" i="28"/>
  <c r="S9" i="25"/>
  <c r="S15" i="25"/>
  <c r="S7" i="25"/>
  <c r="M6" i="14" s="1"/>
  <c r="M6" i="15" s="1"/>
  <c r="S11" i="25"/>
  <c r="S10" i="25"/>
  <c r="S14" i="23"/>
  <c r="M20" i="13" s="1"/>
  <c r="S9" i="20"/>
  <c r="V60" i="28"/>
  <c r="S7" i="24"/>
  <c r="M6" i="13" s="1"/>
  <c r="S10" i="24"/>
  <c r="U28" i="28"/>
  <c r="S11" i="3"/>
  <c r="V14" i="28"/>
  <c r="S13" i="22"/>
  <c r="S10" i="20"/>
  <c r="S9" i="22"/>
  <c r="S10" i="3"/>
  <c r="S9" i="3"/>
  <c r="M8" i="12" s="1"/>
  <c r="M32" i="15" s="1"/>
  <c r="S13" i="3"/>
  <c r="B13" i="14"/>
  <c r="B14" i="14" s="1"/>
  <c r="B15" i="14" s="1"/>
  <c r="T12" i="25"/>
  <c r="N11" i="14" s="1"/>
  <c r="O14" i="15" s="1"/>
  <c r="B13" i="25"/>
  <c r="C9" i="22"/>
  <c r="S16" i="3"/>
  <c r="S13" i="25"/>
  <c r="S15" i="22"/>
  <c r="M32" i="13" s="1"/>
  <c r="S8" i="25"/>
  <c r="M7" i="14" s="1"/>
  <c r="M7" i="15" s="1"/>
  <c r="S17" i="22"/>
  <c r="M46" i="13" s="1"/>
  <c r="R45" i="13" s="1"/>
  <c r="S14" i="3"/>
  <c r="S8" i="20"/>
  <c r="M7" i="12" s="1"/>
  <c r="M22" i="15" s="1"/>
  <c r="S17" i="25"/>
  <c r="S8" i="24"/>
  <c r="M7" i="13" s="1"/>
  <c r="B8" i="15"/>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8" i="12"/>
  <c r="B9" i="12" s="1"/>
  <c r="B8" i="13"/>
  <c r="O8" i="13" s="1"/>
  <c r="J3" i="12"/>
  <c r="B8" i="3"/>
  <c r="T8" i="3" s="1"/>
  <c r="N9" i="12" s="1"/>
  <c r="O33" i="15" s="1"/>
  <c r="Y4" i="3"/>
  <c r="Y3" i="3"/>
  <c r="Y2" i="3"/>
  <c r="M17" i="13" l="1"/>
  <c r="M27" i="13"/>
  <c r="V10" i="24"/>
  <c r="M29" i="13"/>
  <c r="R28" i="13" s="1"/>
  <c r="R46" i="13"/>
  <c r="R47" i="13"/>
  <c r="M19" i="13"/>
  <c r="V14" i="22"/>
  <c r="M31" i="13"/>
  <c r="R12" i="13"/>
  <c r="M19" i="15"/>
  <c r="M23" i="13"/>
  <c r="M22" i="13"/>
  <c r="R13" i="13"/>
  <c r="R20" i="13"/>
  <c r="V20" i="23"/>
  <c r="M38" i="13"/>
  <c r="R41" i="13"/>
  <c r="V21" i="23"/>
  <c r="M39" i="13"/>
  <c r="R38" i="13" s="1"/>
  <c r="R17" i="13"/>
  <c r="V22" i="23"/>
  <c r="M40" i="13"/>
  <c r="R25" i="13"/>
  <c r="V19" i="23"/>
  <c r="M37" i="13"/>
  <c r="R36" i="13" s="1"/>
  <c r="R32" i="13"/>
  <c r="R35" i="13"/>
  <c r="R29" i="13"/>
  <c r="R27" i="13"/>
  <c r="B16" i="14"/>
  <c r="P59" i="15" s="1"/>
  <c r="O44" i="15"/>
  <c r="O24" i="15"/>
  <c r="O18" i="15"/>
  <c r="W9" i="33"/>
  <c r="V9" i="33"/>
  <c r="M55" i="15"/>
  <c r="W8" i="33"/>
  <c r="V8" i="33"/>
  <c r="M13" i="12"/>
  <c r="M41" i="15" s="1"/>
  <c r="W10" i="20"/>
  <c r="V10" i="20"/>
  <c r="M22" i="12"/>
  <c r="W12" i="20"/>
  <c r="M18" i="12"/>
  <c r="M50" i="15" s="1"/>
  <c r="W11" i="20"/>
  <c r="V11" i="20"/>
  <c r="M20" i="12"/>
  <c r="W16" i="3"/>
  <c r="V16" i="3"/>
  <c r="W15" i="3"/>
  <c r="W17" i="3"/>
  <c r="V17" i="3"/>
  <c r="M71" i="15"/>
  <c r="W16" i="22"/>
  <c r="W17" i="22"/>
  <c r="V17" i="22"/>
  <c r="W14" i="22"/>
  <c r="V15" i="22"/>
  <c r="W15" i="22"/>
  <c r="V16" i="22"/>
  <c r="W19" i="23"/>
  <c r="W23" i="23"/>
  <c r="V23" i="23"/>
  <c r="W22" i="23"/>
  <c r="W26" i="23"/>
  <c r="V26" i="23"/>
  <c r="W14" i="23"/>
  <c r="W21" i="23"/>
  <c r="W25" i="23"/>
  <c r="V25" i="23"/>
  <c r="W20" i="23"/>
  <c r="W24" i="23"/>
  <c r="V24" i="23"/>
  <c r="V17" i="25"/>
  <c r="W16" i="25"/>
  <c r="W17" i="25"/>
  <c r="V13" i="25"/>
  <c r="W12" i="25"/>
  <c r="M10" i="14"/>
  <c r="M13" i="15" s="1"/>
  <c r="V11" i="25"/>
  <c r="M14" i="14"/>
  <c r="V15" i="25"/>
  <c r="W14" i="25"/>
  <c r="M13" i="14"/>
  <c r="V14" i="25"/>
  <c r="W13" i="25"/>
  <c r="M15" i="14"/>
  <c r="V16" i="25"/>
  <c r="W15" i="25"/>
  <c r="M60" i="15"/>
  <c r="W12" i="24"/>
  <c r="V13" i="24"/>
  <c r="W11" i="24"/>
  <c r="V12" i="24"/>
  <c r="W13" i="24"/>
  <c r="W14" i="24"/>
  <c r="V14" i="24"/>
  <c r="W10" i="24"/>
  <c r="V11" i="24"/>
  <c r="B14" i="25"/>
  <c r="C13" i="25"/>
  <c r="C13" i="23"/>
  <c r="B15" i="23"/>
  <c r="C15" i="23" s="1"/>
  <c r="C14" i="22"/>
  <c r="C17" i="22"/>
  <c r="V8" i="22"/>
  <c r="W7" i="22"/>
  <c r="C11" i="22"/>
  <c r="C16" i="22"/>
  <c r="C7" i="24"/>
  <c r="C12" i="24"/>
  <c r="C14" i="24"/>
  <c r="N36" i="13"/>
  <c r="O61" i="15" s="1"/>
  <c r="M14" i="15"/>
  <c r="V7" i="33"/>
  <c r="M25" i="15"/>
  <c r="W8" i="22"/>
  <c r="M53" i="15"/>
  <c r="M52" i="15"/>
  <c r="T14" i="23"/>
  <c r="N18" i="13" s="1"/>
  <c r="O27" i="15" s="1"/>
  <c r="U30" i="28"/>
  <c r="U32" i="28"/>
  <c r="U21" i="28"/>
  <c r="U14" i="28"/>
  <c r="U13" i="28"/>
  <c r="V58" i="28"/>
  <c r="V65" i="28"/>
  <c r="U63" i="28"/>
  <c r="V64" i="28"/>
  <c r="U65" i="28"/>
  <c r="V63" i="28"/>
  <c r="U41" i="28"/>
  <c r="U55" i="28"/>
  <c r="U11" i="28"/>
  <c r="V61" i="28"/>
  <c r="U59" i="28"/>
  <c r="V59" i="28"/>
  <c r="V21" i="28"/>
  <c r="U53" i="28"/>
  <c r="U56" i="28"/>
  <c r="V55" i="28"/>
  <c r="V56" i="28"/>
  <c r="V57" i="28"/>
  <c r="U57" i="28"/>
  <c r="U43" i="28"/>
  <c r="V13" i="28"/>
  <c r="V37" i="28"/>
  <c r="U24" i="28"/>
  <c r="U22" i="28"/>
  <c r="U46" i="28"/>
  <c r="V24" i="28"/>
  <c r="V38" i="28"/>
  <c r="U20" i="28"/>
  <c r="U29" i="28"/>
  <c r="V19" i="28"/>
  <c r="V30" i="28"/>
  <c r="V10" i="28"/>
  <c r="V20" i="28"/>
  <c r="U38" i="28"/>
  <c r="M70" i="15"/>
  <c r="M18" i="15"/>
  <c r="M40" i="15"/>
  <c r="M45" i="15"/>
  <c r="M54" i="15"/>
  <c r="M16" i="15"/>
  <c r="M30" i="15"/>
  <c r="M63" i="15"/>
  <c r="M35" i="15"/>
  <c r="W16" i="23"/>
  <c r="M64" i="15"/>
  <c r="V17" i="23"/>
  <c r="M21" i="15"/>
  <c r="M62" i="15"/>
  <c r="M67" i="15"/>
  <c r="M29" i="15"/>
  <c r="M8" i="15"/>
  <c r="M11" i="12"/>
  <c r="M37" i="15" s="1"/>
  <c r="M66" i="15"/>
  <c r="M69" i="15"/>
  <c r="M65" i="15"/>
  <c r="M12" i="12"/>
  <c r="M38" i="15" s="1"/>
  <c r="M61" i="15"/>
  <c r="V11" i="22"/>
  <c r="M12" i="15"/>
  <c r="M49" i="15"/>
  <c r="M6" i="12"/>
  <c r="M20" i="15" s="1"/>
  <c r="W7" i="33"/>
  <c r="M11" i="15"/>
  <c r="M9" i="14"/>
  <c r="M10" i="15" s="1"/>
  <c r="M8" i="14"/>
  <c r="M9" i="15" s="1"/>
  <c r="M12" i="14"/>
  <c r="W11" i="25"/>
  <c r="W7" i="3"/>
  <c r="M44" i="15"/>
  <c r="M16" i="14"/>
  <c r="V14" i="3"/>
  <c r="V13" i="3"/>
  <c r="V7" i="3"/>
  <c r="V12" i="3"/>
  <c r="V9" i="23"/>
  <c r="U12" i="28"/>
  <c r="U7" i="28"/>
  <c r="V51" i="28"/>
  <c r="V52" i="28"/>
  <c r="V28" i="28"/>
  <c r="U36" i="28"/>
  <c r="U25" i="28"/>
  <c r="V53" i="28"/>
  <c r="V49" i="28"/>
  <c r="U50" i="28"/>
  <c r="U15" i="28"/>
  <c r="V29" i="28"/>
  <c r="V35" i="28"/>
  <c r="V11" i="28"/>
  <c r="V48" i="28"/>
  <c r="V12" i="28"/>
  <c r="U10" i="28"/>
  <c r="U34" i="28"/>
  <c r="V9" i="28"/>
  <c r="V33" i="28"/>
  <c r="V13" i="23"/>
  <c r="W17" i="23"/>
  <c r="V25" i="28"/>
  <c r="V18" i="23"/>
  <c r="T13" i="25"/>
  <c r="N12" i="14" s="1"/>
  <c r="O23" i="15" s="1"/>
  <c r="W13" i="3"/>
  <c r="V11" i="23"/>
  <c r="W12" i="3"/>
  <c r="V9" i="25"/>
  <c r="V15" i="23"/>
  <c r="M14" i="12"/>
  <c r="M42" i="15" s="1"/>
  <c r="W9" i="20"/>
  <c r="V9" i="20"/>
  <c r="W8" i="20"/>
  <c r="M10" i="12"/>
  <c r="M36" i="15" s="1"/>
  <c r="U26" i="28"/>
  <c r="V45" i="28"/>
  <c r="U16" i="28"/>
  <c r="U47" i="28"/>
  <c r="V50" i="28"/>
  <c r="V18" i="28"/>
  <c r="W15" i="23"/>
  <c r="V43" i="28"/>
  <c r="V42" i="28"/>
  <c r="V41" i="28"/>
  <c r="U42" i="28"/>
  <c r="V14" i="23"/>
  <c r="W11" i="23"/>
  <c r="U23" i="28"/>
  <c r="U9" i="28"/>
  <c r="U39" i="28"/>
  <c r="U44" i="28"/>
  <c r="U40" i="28"/>
  <c r="W13" i="23"/>
  <c r="V32" i="28"/>
  <c r="V31" i="28"/>
  <c r="U19" i="28"/>
  <c r="V15" i="28"/>
  <c r="V46" i="28"/>
  <c r="W12" i="23"/>
  <c r="V12" i="23"/>
  <c r="V16" i="28"/>
  <c r="U37" i="28"/>
  <c r="W13" i="22"/>
  <c r="U54" i="28"/>
  <c r="U17" i="28"/>
  <c r="U33" i="28"/>
  <c r="W14" i="3"/>
  <c r="M9" i="12"/>
  <c r="M33" i="15" s="1"/>
  <c r="V36" i="28"/>
  <c r="V34" i="28"/>
  <c r="U31" i="28"/>
  <c r="V17" i="28"/>
  <c r="U35" i="28"/>
  <c r="V23" i="28"/>
  <c r="V8" i="28"/>
  <c r="V13" i="22"/>
  <c r="V22" i="28"/>
  <c r="W18" i="23"/>
  <c r="V40" i="28"/>
  <c r="V54" i="28"/>
  <c r="U27" i="28"/>
  <c r="U45" i="28"/>
  <c r="U18" i="28"/>
  <c r="V47" i="28"/>
  <c r="V44" i="28"/>
  <c r="V7" i="28"/>
  <c r="U8" i="28"/>
  <c r="V39" i="28"/>
  <c r="V27" i="28"/>
  <c r="V26" i="28"/>
  <c r="U49" i="28"/>
  <c r="U52" i="28"/>
  <c r="U51" i="28"/>
  <c r="U48" i="28"/>
  <c r="M17" i="12"/>
  <c r="M48" i="15" s="1"/>
  <c r="M16" i="12"/>
  <c r="M47" i="15" s="1"/>
  <c r="V8" i="3"/>
  <c r="W9" i="24"/>
  <c r="V8" i="24"/>
  <c r="W8" i="24"/>
  <c r="C10" i="24"/>
  <c r="W9" i="23"/>
  <c r="V10" i="23"/>
  <c r="W10" i="23"/>
  <c r="V8" i="23"/>
  <c r="W8" i="23"/>
  <c r="C12" i="22"/>
  <c r="V10" i="22"/>
  <c r="W10" i="22"/>
  <c r="V12" i="22"/>
  <c r="W11" i="22"/>
  <c r="W12" i="22"/>
  <c r="M21" i="12"/>
  <c r="M19" i="12"/>
  <c r="O7" i="12"/>
  <c r="P22" i="15" s="1"/>
  <c r="O8" i="12"/>
  <c r="P32" i="15" s="1"/>
  <c r="O9" i="12"/>
  <c r="P33" i="15" s="1"/>
  <c r="O6" i="12"/>
  <c r="P20" i="15" s="1"/>
  <c r="V8" i="20"/>
  <c r="W7" i="20"/>
  <c r="V7" i="20"/>
  <c r="V11" i="3"/>
  <c r="W11" i="3"/>
  <c r="W10" i="25"/>
  <c r="V10" i="25"/>
  <c r="W9" i="25"/>
  <c r="W8" i="25"/>
  <c r="V8" i="25"/>
  <c r="W7" i="25"/>
  <c r="V7" i="25"/>
  <c r="V7" i="24"/>
  <c r="W7" i="24"/>
  <c r="W7" i="23"/>
  <c r="V7" i="23"/>
  <c r="W9" i="22"/>
  <c r="V9" i="22"/>
  <c r="V10" i="3"/>
  <c r="W10" i="3"/>
  <c r="V9" i="3"/>
  <c r="W9" i="3"/>
  <c r="W8" i="3"/>
  <c r="B10" i="12"/>
  <c r="O10" i="12" s="1"/>
  <c r="P36" i="15" s="1"/>
  <c r="B9" i="13"/>
  <c r="O9" i="13" s="1"/>
  <c r="B9" i="3"/>
  <c r="T9" i="3" s="1"/>
  <c r="B1" i="2"/>
  <c r="R39" i="13" l="1"/>
  <c r="R40" i="13"/>
  <c r="R37" i="13"/>
  <c r="R21" i="13"/>
  <c r="M31" i="15"/>
  <c r="R22" i="13"/>
  <c r="R23" i="13"/>
  <c r="M34" i="15"/>
  <c r="R30" i="13"/>
  <c r="R31" i="13"/>
  <c r="R18" i="13"/>
  <c r="R19" i="13"/>
  <c r="M28" i="15"/>
  <c r="R26" i="13"/>
  <c r="M43" i="15"/>
  <c r="R16" i="13"/>
  <c r="M26" i="15"/>
  <c r="M51" i="15"/>
  <c r="R19" i="12"/>
  <c r="M75" i="15"/>
  <c r="R21" i="12"/>
  <c r="M74" i="15"/>
  <c r="R20" i="12"/>
  <c r="M73" i="15"/>
  <c r="R18" i="12"/>
  <c r="R22" i="12"/>
  <c r="S73" i="15"/>
  <c r="S64" i="15"/>
  <c r="M59" i="15"/>
  <c r="R15" i="14"/>
  <c r="R16" i="14"/>
  <c r="M58" i="15"/>
  <c r="R14" i="14"/>
  <c r="M56" i="15"/>
  <c r="R12" i="14"/>
  <c r="M57" i="15"/>
  <c r="R13" i="14"/>
  <c r="B15" i="25"/>
  <c r="B16" i="25" s="1"/>
  <c r="C15" i="25"/>
  <c r="B16" i="23"/>
  <c r="T15" i="23"/>
  <c r="M68" i="15"/>
  <c r="R10" i="14"/>
  <c r="M23" i="15"/>
  <c r="M39" i="15"/>
  <c r="M72" i="15"/>
  <c r="S72" i="15" s="1"/>
  <c r="S49" i="15"/>
  <c r="R11" i="13"/>
  <c r="S26" i="15"/>
  <c r="R10" i="13"/>
  <c r="S40" i="15"/>
  <c r="S53" i="15"/>
  <c r="S15" i="15"/>
  <c r="S14" i="15"/>
  <c r="S61" i="15"/>
  <c r="S6" i="15"/>
  <c r="S27" i="15"/>
  <c r="S59" i="15"/>
  <c r="S46" i="15"/>
  <c r="S41" i="15"/>
  <c r="R12" i="12"/>
  <c r="S10" i="15"/>
  <c r="R11" i="14"/>
  <c r="R9" i="13"/>
  <c r="S11" i="15"/>
  <c r="S51" i="15"/>
  <c r="S54" i="15"/>
  <c r="R7" i="14"/>
  <c r="R13" i="12"/>
  <c r="R14" i="12"/>
  <c r="R11" i="12"/>
  <c r="R15" i="12"/>
  <c r="R16" i="12"/>
  <c r="S56" i="15"/>
  <c r="R10" i="12"/>
  <c r="R6" i="14"/>
  <c r="S60" i="15"/>
  <c r="R9" i="12"/>
  <c r="R8" i="13"/>
  <c r="R9" i="14"/>
  <c r="R8" i="14"/>
  <c r="R17" i="12"/>
  <c r="C7" i="25"/>
  <c r="C8" i="22"/>
  <c r="R7" i="13"/>
  <c r="R6" i="13"/>
  <c r="R8" i="12"/>
  <c r="R7" i="12"/>
  <c r="R6" i="12"/>
  <c r="S43" i="15"/>
  <c r="B10" i="13"/>
  <c r="O10" i="13" s="1"/>
  <c r="B11" i="12"/>
  <c r="O11" i="12" s="1"/>
  <c r="P37" i="15" s="1"/>
  <c r="B10" i="3"/>
  <c r="J3" i="15"/>
  <c r="B1" i="15"/>
  <c r="B1" i="14"/>
  <c r="F42" i="13"/>
  <c r="G42" i="13"/>
  <c r="H42" i="13"/>
  <c r="I42" i="13"/>
  <c r="J42" i="13"/>
  <c r="K42" i="13"/>
  <c r="L42" i="13"/>
  <c r="F10" i="13"/>
  <c r="G10" i="13"/>
  <c r="H10" i="13"/>
  <c r="I10" i="13"/>
  <c r="J10" i="13"/>
  <c r="K10" i="13"/>
  <c r="L10" i="13"/>
  <c r="F39" i="13"/>
  <c r="G39" i="13"/>
  <c r="H39" i="13"/>
  <c r="I39" i="13"/>
  <c r="J39" i="13"/>
  <c r="K39" i="13"/>
  <c r="L39" i="13"/>
  <c r="F40" i="13"/>
  <c r="G40" i="13"/>
  <c r="H40" i="13"/>
  <c r="I40" i="13"/>
  <c r="J40" i="13"/>
  <c r="K40" i="13"/>
  <c r="L40" i="13"/>
  <c r="F37" i="13"/>
  <c r="G37" i="13"/>
  <c r="H37" i="13"/>
  <c r="I37" i="13"/>
  <c r="J37" i="13"/>
  <c r="K37" i="13"/>
  <c r="L37" i="13"/>
  <c r="F8" i="13"/>
  <c r="G8" i="13"/>
  <c r="H8" i="13"/>
  <c r="I8" i="13"/>
  <c r="J8" i="13"/>
  <c r="K8" i="13"/>
  <c r="L8" i="13"/>
  <c r="F38" i="13"/>
  <c r="G38" i="13"/>
  <c r="H38" i="13"/>
  <c r="I38" i="13"/>
  <c r="J38" i="13"/>
  <c r="K38" i="13"/>
  <c r="L38" i="13"/>
  <c r="F15" i="13"/>
  <c r="G15" i="13"/>
  <c r="H15" i="13"/>
  <c r="I15" i="13"/>
  <c r="J15" i="13"/>
  <c r="K15" i="13"/>
  <c r="L15" i="13"/>
  <c r="F30" i="13"/>
  <c r="G30" i="13"/>
  <c r="H30" i="13"/>
  <c r="I30" i="13"/>
  <c r="J30" i="13"/>
  <c r="K30" i="13"/>
  <c r="L30" i="13"/>
  <c r="F35" i="13"/>
  <c r="G35" i="13"/>
  <c r="H35" i="13"/>
  <c r="I35" i="13"/>
  <c r="J35" i="13"/>
  <c r="K35" i="13"/>
  <c r="L35" i="13"/>
  <c r="F7" i="13"/>
  <c r="G7" i="13"/>
  <c r="H7" i="13"/>
  <c r="I7" i="13"/>
  <c r="J7" i="13"/>
  <c r="K7" i="13"/>
  <c r="L7" i="13"/>
  <c r="F6" i="13"/>
  <c r="G6" i="13"/>
  <c r="H6" i="13"/>
  <c r="I6" i="13"/>
  <c r="J6" i="13"/>
  <c r="K6" i="13"/>
  <c r="L6" i="13"/>
  <c r="F36" i="13"/>
  <c r="G36" i="13"/>
  <c r="H36" i="13"/>
  <c r="I36" i="13"/>
  <c r="J36" i="13"/>
  <c r="K36" i="13"/>
  <c r="L36" i="13"/>
  <c r="F28" i="13"/>
  <c r="G28" i="13"/>
  <c r="H28" i="13"/>
  <c r="I28" i="13"/>
  <c r="J28" i="13"/>
  <c r="K28" i="13"/>
  <c r="L28" i="13"/>
  <c r="L12" i="13"/>
  <c r="K12" i="13"/>
  <c r="J12" i="13"/>
  <c r="I12" i="13"/>
  <c r="H12" i="13"/>
  <c r="G12" i="13"/>
  <c r="F12" i="13"/>
  <c r="L29" i="13"/>
  <c r="K29" i="13"/>
  <c r="J29" i="13"/>
  <c r="I29" i="13"/>
  <c r="H29" i="13"/>
  <c r="G29" i="13"/>
  <c r="F29" i="13"/>
  <c r="L33" i="13"/>
  <c r="K33" i="13"/>
  <c r="J33" i="13"/>
  <c r="I33" i="13"/>
  <c r="H33" i="13"/>
  <c r="G33" i="13"/>
  <c r="F33" i="13"/>
  <c r="L11" i="13"/>
  <c r="K11" i="13"/>
  <c r="J11" i="13"/>
  <c r="I11" i="13"/>
  <c r="H11" i="13"/>
  <c r="G11" i="13"/>
  <c r="F11" i="13"/>
  <c r="L20" i="13"/>
  <c r="K20" i="13"/>
  <c r="J20" i="13"/>
  <c r="I20" i="13"/>
  <c r="H20" i="13"/>
  <c r="G20" i="13"/>
  <c r="F20" i="13"/>
  <c r="L25" i="13"/>
  <c r="K25" i="13"/>
  <c r="J25" i="13"/>
  <c r="I25" i="13"/>
  <c r="H25" i="13"/>
  <c r="G25" i="13"/>
  <c r="F25" i="13"/>
  <c r="L14" i="13"/>
  <c r="K14" i="13"/>
  <c r="J14" i="13"/>
  <c r="I14" i="13"/>
  <c r="H14" i="13"/>
  <c r="G14" i="13"/>
  <c r="F14" i="13"/>
  <c r="L21" i="13"/>
  <c r="K21" i="13"/>
  <c r="J21" i="13"/>
  <c r="I21" i="13"/>
  <c r="H21" i="13"/>
  <c r="G21" i="13"/>
  <c r="F21" i="13"/>
  <c r="L43" i="13"/>
  <c r="K43" i="13"/>
  <c r="J43" i="13"/>
  <c r="I43" i="13"/>
  <c r="H43" i="13"/>
  <c r="G43" i="13"/>
  <c r="F43" i="13"/>
  <c r="L18" i="13"/>
  <c r="K18" i="13"/>
  <c r="J18" i="13"/>
  <c r="I18" i="13"/>
  <c r="H18" i="13"/>
  <c r="G18" i="13"/>
  <c r="F18" i="13"/>
  <c r="L26" i="13"/>
  <c r="K26" i="13"/>
  <c r="J26" i="13"/>
  <c r="I26" i="13"/>
  <c r="H26" i="13"/>
  <c r="G26" i="13"/>
  <c r="F26" i="13"/>
  <c r="L24" i="13"/>
  <c r="K24" i="13"/>
  <c r="J24" i="13"/>
  <c r="I24" i="13"/>
  <c r="H24" i="13"/>
  <c r="G24" i="13"/>
  <c r="F24" i="13"/>
  <c r="L41" i="13"/>
  <c r="K41" i="13"/>
  <c r="J41" i="13"/>
  <c r="I41" i="13"/>
  <c r="H41" i="13"/>
  <c r="G41" i="13"/>
  <c r="F41" i="13"/>
  <c r="L44" i="13"/>
  <c r="K44" i="13"/>
  <c r="J44" i="13"/>
  <c r="I44" i="13"/>
  <c r="H44" i="13"/>
  <c r="G44" i="13"/>
  <c r="F44" i="13"/>
  <c r="B1" i="13"/>
  <c r="L5" i="20"/>
  <c r="B1" i="12"/>
  <c r="P6" i="1"/>
  <c r="P7" i="1"/>
  <c r="P9" i="1"/>
  <c r="P10" i="1"/>
  <c r="L5" i="33" s="1"/>
  <c r="P11" i="1"/>
  <c r="L5" i="22" s="1"/>
  <c r="P12" i="1"/>
  <c r="P13" i="1"/>
  <c r="B1" i="3"/>
  <c r="S67" i="15" l="1"/>
  <c r="S68" i="15"/>
  <c r="S74" i="15"/>
  <c r="S75" i="15"/>
  <c r="S71" i="15"/>
  <c r="S69" i="15"/>
  <c r="S70" i="15"/>
  <c r="S65" i="15"/>
  <c r="S66" i="15"/>
  <c r="S55" i="15"/>
  <c r="N20" i="13"/>
  <c r="O29" i="15" s="1"/>
  <c r="N21" i="13"/>
  <c r="O30" i="15" s="1"/>
  <c r="B17" i="25"/>
  <c r="C14" i="25"/>
  <c r="C16" i="23"/>
  <c r="B17" i="23"/>
  <c r="T16" i="23"/>
  <c r="N24" i="13" s="1"/>
  <c r="O35" i="15" s="1"/>
  <c r="S50" i="15"/>
  <c r="S21" i="15"/>
  <c r="S58" i="15"/>
  <c r="S16" i="15"/>
  <c r="S25" i="15"/>
  <c r="S28" i="15"/>
  <c r="Q6" i="1"/>
  <c r="N5" i="1"/>
  <c r="J4" i="12" s="1"/>
  <c r="Q9" i="1"/>
  <c r="L5" i="32"/>
  <c r="S35" i="15"/>
  <c r="S24" i="15"/>
  <c r="S23" i="15"/>
  <c r="P57" i="15"/>
  <c r="S33" i="15"/>
  <c r="S32" i="15"/>
  <c r="S42" i="15"/>
  <c r="S31" i="15"/>
  <c r="S9" i="15"/>
  <c r="O12" i="14"/>
  <c r="P56" i="15"/>
  <c r="S34" i="15"/>
  <c r="L5" i="24"/>
  <c r="Q13" i="1"/>
  <c r="Q11" i="1"/>
  <c r="L5" i="23"/>
  <c r="Q12" i="1"/>
  <c r="Q10" i="1"/>
  <c r="S52" i="15"/>
  <c r="S22" i="15"/>
  <c r="S57" i="15"/>
  <c r="S29" i="15"/>
  <c r="S19" i="15"/>
  <c r="S36" i="15"/>
  <c r="S48" i="15"/>
  <c r="S47" i="15"/>
  <c r="S38" i="15"/>
  <c r="S13" i="15"/>
  <c r="S12" i="15"/>
  <c r="S45" i="15"/>
  <c r="S44" i="15"/>
  <c r="S37" i="15"/>
  <c r="S20" i="15"/>
  <c r="S39" i="15"/>
  <c r="L5" i="3"/>
  <c r="Q7" i="1"/>
  <c r="S30" i="15"/>
  <c r="S17" i="15"/>
  <c r="S18" i="15"/>
  <c r="S63" i="15"/>
  <c r="S62" i="15"/>
  <c r="O6" i="14"/>
  <c r="P6" i="15" s="1"/>
  <c r="O7" i="14"/>
  <c r="P7" i="15" s="1"/>
  <c r="O8" i="14"/>
  <c r="P9" i="15" s="1"/>
  <c r="O9" i="14"/>
  <c r="P10" i="15" s="1"/>
  <c r="O10" i="14"/>
  <c r="P13" i="15" s="1"/>
  <c r="O11" i="14"/>
  <c r="P14" i="15" s="1"/>
  <c r="N9" i="1"/>
  <c r="B11" i="3"/>
  <c r="T10" i="3"/>
  <c r="S7" i="15"/>
  <c r="S8" i="15"/>
  <c r="B11" i="13"/>
  <c r="O11" i="13" s="1"/>
  <c r="B12" i="12"/>
  <c r="O12" i="12" s="1"/>
  <c r="P38" i="15" s="1"/>
  <c r="Z2" i="3"/>
  <c r="N14" i="1"/>
  <c r="P12" i="14" l="1"/>
  <c r="P23" i="15"/>
  <c r="P58" i="15"/>
  <c r="N14" i="14"/>
  <c r="O57" i="15" s="1"/>
  <c r="N16" i="14"/>
  <c r="C17" i="25"/>
  <c r="C17" i="23"/>
  <c r="B18" i="23"/>
  <c r="T17" i="23"/>
  <c r="N25" i="13" s="1"/>
  <c r="O39" i="15" s="1"/>
  <c r="N12" i="12"/>
  <c r="O38" i="15" s="1"/>
  <c r="Q15" i="1"/>
  <c r="P14" i="14"/>
  <c r="C16" i="25"/>
  <c r="P9" i="14"/>
  <c r="Q57" i="15" s="1"/>
  <c r="P7" i="14"/>
  <c r="Q7" i="15" s="1"/>
  <c r="P6" i="14"/>
  <c r="Q6" i="15" s="1"/>
  <c r="P11" i="14"/>
  <c r="Q23" i="15" s="1"/>
  <c r="P8" i="14"/>
  <c r="P7" i="13"/>
  <c r="P6" i="13"/>
  <c r="C14" i="23"/>
  <c r="J4" i="14"/>
  <c r="P15" i="1"/>
  <c r="C5" i="19" s="1"/>
  <c r="J4" i="13"/>
  <c r="T11" i="3"/>
  <c r="N14" i="12" s="1"/>
  <c r="O42" i="15" s="1"/>
  <c r="B12" i="3"/>
  <c r="B13" i="12"/>
  <c r="O13" i="12" s="1"/>
  <c r="P41" i="15" s="1"/>
  <c r="B12" i="13"/>
  <c r="Z3" i="3"/>
  <c r="Z4" i="3" s="1"/>
  <c r="O59" i="15" l="1"/>
  <c r="P16" i="14"/>
  <c r="Q10" i="15"/>
  <c r="N13" i="14"/>
  <c r="N15" i="14"/>
  <c r="P15" i="14" s="1"/>
  <c r="Q9" i="15" s="1"/>
  <c r="O56" i="15"/>
  <c r="P13" i="14"/>
  <c r="Q56" i="15" s="1"/>
  <c r="C18" i="23"/>
  <c r="B19" i="23"/>
  <c r="T18" i="23"/>
  <c r="N26" i="13" s="1"/>
  <c r="O40" i="15" s="1"/>
  <c r="B13" i="13"/>
  <c r="O13" i="13" s="1"/>
  <c r="O12" i="13"/>
  <c r="P16" i="1"/>
  <c r="M5" i="28"/>
  <c r="B13" i="3"/>
  <c r="T12" i="3"/>
  <c r="N15" i="12" s="1"/>
  <c r="O46" i="15" s="1"/>
  <c r="B14" i="12"/>
  <c r="O14" i="12" s="1"/>
  <c r="P42" i="15" s="1"/>
  <c r="Q14" i="15" l="1"/>
  <c r="Q59" i="15"/>
  <c r="O58" i="15"/>
  <c r="P10" i="14"/>
  <c r="B20" i="23"/>
  <c r="N37" i="13"/>
  <c r="C19" i="23"/>
  <c r="T13" i="3"/>
  <c r="B14" i="3"/>
  <c r="C9" i="3"/>
  <c r="B15" i="12"/>
  <c r="O15" i="12" s="1"/>
  <c r="P46" i="15" s="1"/>
  <c r="Q58" i="15" l="1"/>
  <c r="Q13" i="15"/>
  <c r="O62" i="15"/>
  <c r="P8" i="13"/>
  <c r="B21" i="23"/>
  <c r="N38" i="13"/>
  <c r="C20" i="23"/>
  <c r="C13" i="3"/>
  <c r="B15" i="3"/>
  <c r="N11" i="12"/>
  <c r="O37" i="15" s="1"/>
  <c r="T14" i="3"/>
  <c r="B16" i="12"/>
  <c r="O16" i="12" s="1"/>
  <c r="P47" i="15" s="1"/>
  <c r="O63" i="15" l="1"/>
  <c r="P9" i="13"/>
  <c r="B22" i="23"/>
  <c r="N39" i="13"/>
  <c r="C21" i="23"/>
  <c r="N8" i="12"/>
  <c r="N16" i="12"/>
  <c r="O47" i="15" s="1"/>
  <c r="B16" i="3"/>
  <c r="T15" i="3"/>
  <c r="C15" i="3"/>
  <c r="C12" i="3"/>
  <c r="C7" i="3"/>
  <c r="C10" i="3"/>
  <c r="P7" i="12"/>
  <c r="P13" i="12"/>
  <c r="C11" i="3"/>
  <c r="B14" i="13"/>
  <c r="O14" i="13" s="1"/>
  <c r="B17" i="12"/>
  <c r="O64" i="15" l="1"/>
  <c r="P10" i="13"/>
  <c r="O32" i="15"/>
  <c r="P8" i="12"/>
  <c r="N17" i="12"/>
  <c r="N19" i="12"/>
  <c r="O51" i="15" s="1"/>
  <c r="C22" i="23"/>
  <c r="B23" i="23"/>
  <c r="N40" i="13"/>
  <c r="O65" i="15" s="1"/>
  <c r="O48" i="15"/>
  <c r="P9" i="12"/>
  <c r="B17" i="3"/>
  <c r="C16" i="3"/>
  <c r="O17" i="12"/>
  <c r="P48" i="15" s="1"/>
  <c r="B18" i="12"/>
  <c r="N20" i="12"/>
  <c r="O74" i="15" s="1"/>
  <c r="C14" i="3"/>
  <c r="C8" i="3"/>
  <c r="B15" i="13"/>
  <c r="O15" i="13" s="1"/>
  <c r="Q33" i="15" l="1"/>
  <c r="C23" i="23"/>
  <c r="B24" i="23"/>
  <c r="N41" i="13"/>
  <c r="O66" i="15" s="1"/>
  <c r="C17" i="3"/>
  <c r="N21" i="12"/>
  <c r="O75" i="15" s="1"/>
  <c r="O18" i="12"/>
  <c r="B19" i="12"/>
  <c r="P12" i="12"/>
  <c r="P14" i="12"/>
  <c r="N10" i="12"/>
  <c r="O36" i="15" s="1"/>
  <c r="P10" i="12"/>
  <c r="P16" i="12"/>
  <c r="B16" i="13"/>
  <c r="O16" i="13" s="1"/>
  <c r="Q47" i="15" l="1"/>
  <c r="Q38" i="15"/>
  <c r="P18" i="12"/>
  <c r="Q22" i="15" s="1"/>
  <c r="P50" i="15"/>
  <c r="C24" i="23"/>
  <c r="B25" i="23"/>
  <c r="N42" i="13"/>
  <c r="O19" i="12"/>
  <c r="B20" i="12"/>
  <c r="N6" i="12"/>
  <c r="P11" i="12"/>
  <c r="B17" i="13"/>
  <c r="O17" i="13" s="1"/>
  <c r="O67" i="15" l="1"/>
  <c r="P13" i="13"/>
  <c r="Q42" i="15"/>
  <c r="Q37" i="15"/>
  <c r="O20" i="15"/>
  <c r="P6" i="12"/>
  <c r="P19" i="12"/>
  <c r="P51" i="15"/>
  <c r="C25" i="23"/>
  <c r="B26" i="23"/>
  <c r="N43" i="13"/>
  <c r="B21" i="12"/>
  <c r="P17" i="12"/>
  <c r="P15" i="12"/>
  <c r="Q32" i="15" s="1"/>
  <c r="B18" i="13"/>
  <c r="O18" i="13" s="1"/>
  <c r="O68" i="15" l="1"/>
  <c r="P14" i="13"/>
  <c r="Q20" i="15"/>
  <c r="Q48" i="15"/>
  <c r="P20" i="12"/>
  <c r="P74" i="15"/>
  <c r="Q41" i="15"/>
  <c r="Q51" i="15"/>
  <c r="Q46" i="15"/>
  <c r="C26" i="23"/>
  <c r="N44" i="13"/>
  <c r="B22" i="12"/>
  <c r="P17" i="13"/>
  <c r="P16" i="13"/>
  <c r="P18" i="13"/>
  <c r="B19" i="13"/>
  <c r="O19" i="13" s="1"/>
  <c r="O69" i="15" l="1"/>
  <c r="P15" i="13"/>
  <c r="P22" i="12"/>
  <c r="Q36" i="15" s="1"/>
  <c r="P73" i="15"/>
  <c r="P21" i="12"/>
  <c r="P75" i="15"/>
  <c r="Q73" i="15"/>
  <c r="Q74" i="15"/>
  <c r="P19" i="13"/>
  <c r="B20" i="13"/>
  <c r="O20" i="13" s="1"/>
  <c r="Q50" i="15" l="1"/>
  <c r="Q75" i="15"/>
  <c r="L18" i="16"/>
  <c r="P20" i="13"/>
  <c r="B21" i="13"/>
  <c r="O21" i="13" s="1"/>
  <c r="P21" i="13" l="1"/>
  <c r="B22" i="13"/>
  <c r="O22" i="13" s="1"/>
  <c r="L19" i="16" l="1"/>
  <c r="P12" i="13"/>
  <c r="P11" i="13"/>
  <c r="P22" i="13"/>
  <c r="B23" i="13"/>
  <c r="O23" i="13" s="1"/>
  <c r="L17" i="16" l="1"/>
  <c r="P23" i="13"/>
  <c r="B24" i="13"/>
  <c r="O24" i="13" s="1"/>
  <c r="P24" i="13" l="1"/>
  <c r="B25" i="13"/>
  <c r="O25" i="13" s="1"/>
  <c r="L29" i="16" l="1"/>
  <c r="P25" i="13"/>
  <c r="B26" i="13"/>
  <c r="O26" i="13" l="1"/>
  <c r="P39" i="15" s="1"/>
  <c r="B27" i="13"/>
  <c r="B28" i="13" s="1"/>
  <c r="B29" i="13" s="1"/>
  <c r="B30" i="13" s="1"/>
  <c r="B31" i="13" s="1"/>
  <c r="B32" i="13" s="1"/>
  <c r="B33" i="13" s="1"/>
  <c r="B34" i="13" s="1"/>
  <c r="P26" i="13"/>
  <c r="B35" i="13" l="1"/>
  <c r="O34" i="13"/>
  <c r="L9" i="16"/>
  <c r="Q39" i="15"/>
  <c r="O27" i="13"/>
  <c r="P27" i="15" l="1"/>
  <c r="B36" i="13"/>
  <c r="P27" i="13"/>
  <c r="O28" i="13"/>
  <c r="P44" i="15" l="1"/>
  <c r="P35" i="13"/>
  <c r="B37" i="13"/>
  <c r="P61" i="15"/>
  <c r="P28" i="13"/>
  <c r="O29" i="13"/>
  <c r="P24" i="15" l="1"/>
  <c r="P36" i="13"/>
  <c r="B38" i="13"/>
  <c r="P62" i="15"/>
  <c r="Q44" i="15"/>
  <c r="P29" i="13"/>
  <c r="O30" i="13"/>
  <c r="P49" i="15" l="1"/>
  <c r="P34" i="15"/>
  <c r="P45" i="15"/>
  <c r="P37" i="13"/>
  <c r="Q62" i="15" s="1"/>
  <c r="B39" i="13"/>
  <c r="Q24" i="15"/>
  <c r="P30" i="13"/>
  <c r="O31" i="13"/>
  <c r="Q49" i="15" l="1"/>
  <c r="P63" i="15"/>
  <c r="Q34" i="15"/>
  <c r="P29" i="15"/>
  <c r="P40" i="15"/>
  <c r="Q45" i="15"/>
  <c r="P21" i="15"/>
  <c r="P38" i="13"/>
  <c r="B40" i="13"/>
  <c r="P64" i="15"/>
  <c r="P31" i="13"/>
  <c r="O32" i="13"/>
  <c r="P53" i="15" s="1"/>
  <c r="Q63" i="15" l="1"/>
  <c r="P26" i="15"/>
  <c r="P28" i="15"/>
  <c r="P30" i="15"/>
  <c r="Q40" i="15"/>
  <c r="Q29" i="15"/>
  <c r="P18" i="15"/>
  <c r="P39" i="13"/>
  <c r="B41" i="13"/>
  <c r="P65" i="15"/>
  <c r="Q21" i="15"/>
  <c r="L8" i="16"/>
  <c r="Q64" i="15" l="1"/>
  <c r="P40" i="13"/>
  <c r="P11" i="15"/>
  <c r="B42" i="13"/>
  <c r="P66" i="15"/>
  <c r="Q26" i="15"/>
  <c r="Q18" i="15"/>
  <c r="O33" i="13"/>
  <c r="P34" i="13"/>
  <c r="P32" i="13"/>
  <c r="Q53" i="15" s="1"/>
  <c r="P60" i="15" l="1"/>
  <c r="P54" i="15"/>
  <c r="Q65" i="15"/>
  <c r="Q27" i="15"/>
  <c r="Q61" i="15"/>
  <c r="P43" i="15"/>
  <c r="P35" i="15"/>
  <c r="Q30" i="15"/>
  <c r="Q28" i="15"/>
  <c r="P41" i="13"/>
  <c r="Q66" i="15" s="1"/>
  <c r="B43" i="13"/>
  <c r="P67" i="15"/>
  <c r="Q11" i="15"/>
  <c r="L26" i="16"/>
  <c r="P33" i="13"/>
  <c r="Q54" i="15" s="1"/>
  <c r="Q35" i="15" l="1"/>
  <c r="Q60" i="15"/>
  <c r="Q43" i="15"/>
  <c r="P17" i="15"/>
  <c r="P42" i="13"/>
  <c r="B44" i="13"/>
  <c r="P68" i="15"/>
  <c r="L20" i="16"/>
  <c r="L14" i="16" s="1"/>
  <c r="Q67" i="15" l="1"/>
  <c r="P31" i="15"/>
  <c r="P16" i="15"/>
  <c r="P43" i="13"/>
  <c r="B45" i="13"/>
  <c r="P69" i="15"/>
  <c r="Q17" i="15"/>
  <c r="L27" i="16"/>
  <c r="Q68" i="15" l="1"/>
  <c r="P52" i="15"/>
  <c r="P8" i="15"/>
  <c r="P44" i="13"/>
  <c r="B46" i="13"/>
  <c r="P70" i="15"/>
  <c r="Q31" i="15"/>
  <c r="Q16" i="15"/>
  <c r="L11" i="16"/>
  <c r="L28" i="16"/>
  <c r="L23" i="16" s="1"/>
  <c r="Q69" i="15" l="1"/>
  <c r="P45" i="13"/>
  <c r="Q70" i="15" s="1"/>
  <c r="P12" i="15"/>
  <c r="B47" i="13"/>
  <c r="Q52" i="15"/>
  <c r="Q8" i="15"/>
  <c r="L10" i="16"/>
  <c r="L5" i="16" s="1"/>
  <c r="P55" i="15" l="1"/>
  <c r="P71" i="15"/>
  <c r="P72" i="15"/>
  <c r="P19" i="15"/>
  <c r="P46" i="13"/>
  <c r="Q71" i="15" s="1"/>
  <c r="P15" i="15"/>
  <c r="P25" i="15"/>
  <c r="P47" i="13"/>
  <c r="Q25" i="15"/>
  <c r="Q12" i="15"/>
  <c r="J4" i="15"/>
  <c r="B5" i="2"/>
  <c r="F8" i="2"/>
  <c r="Q72" i="15" l="1"/>
  <c r="Q19" i="15"/>
  <c r="Q55" i="15"/>
  <c r="Q1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S11" authorId="0" shapeId="0" xr:uid="{E5ED1965-A6A8-49FB-BA50-CBA71CB7A3A1}">
      <text>
        <r>
          <rPr>
            <b/>
            <sz val="9"/>
            <color indexed="81"/>
            <rFont val="Segoe UI"/>
            <family val="2"/>
          </rPr>
          <t>Luisa Angebrandt:</t>
        </r>
        <r>
          <rPr>
            <sz val="9"/>
            <color indexed="81"/>
            <rFont val="Segoe UI"/>
            <family val="2"/>
          </rPr>
          <t xml:space="preserve">
1. Die Starter müssen der Reihe nach in die Teilnehmerliste übernommen werden.
2. Ergibt sich eine Klasse nicht (weniger als 3 Starter), so werden die Teilnehmer hochgestuft, indem ihnen hier die neue Klasse eingetragen wird.
3. Erscheint ein Teilnehmer nicht, so muss die Klasse herausgenommen werden! (Check Klassenanzahl + Pokale sonst falsch).</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AA1" authorId="0" shapeId="0" xr:uid="{78B19D83-57F6-489B-80C1-73D5F0C732FA}">
      <text>
        <r>
          <rPr>
            <b/>
            <sz val="9"/>
            <color indexed="81"/>
            <rFont val="Segoe UI"/>
            <family val="2"/>
          </rPr>
          <t>Luisa Angebrandt:</t>
        </r>
        <r>
          <rPr>
            <sz val="9"/>
            <color indexed="81"/>
            <rFont val="Segoe UI"/>
            <family val="2"/>
          </rPr>
          <t xml:space="preserve">
1. Starternummer der Gruppe x Klasse y in die Spalte D "St.-Nr." eintragen
2. Spalte S "Fahrtzeit" von A bis Z sortieren.
3. "Check Summe" Spalte V zeigt an, ob die Summen der WPs und der Strafzeit die Fahrzeitzeit ergibt
4. "Check Sortierung" Saplte W zeigt an, ob die Fahrtzeiten von klein nach groß sortiert wurden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AA1" authorId="0" shapeId="0" xr:uid="{B036587F-7AB9-4F26-9005-39AD09D91B47}">
      <text>
        <r>
          <rPr>
            <b/>
            <sz val="9"/>
            <color indexed="81"/>
            <rFont val="Segoe UI"/>
            <family val="2"/>
          </rPr>
          <t>Luisa Angebrandt:</t>
        </r>
        <r>
          <rPr>
            <sz val="9"/>
            <color indexed="81"/>
            <rFont val="Segoe UI"/>
            <family val="2"/>
          </rPr>
          <t xml:space="preserve">
1. Starternummer der Gruppe x Klasse y in die Spalte D "St.-Nr." eintragen
2. Spalte S "Fahrtzeit" von A bis Z sortieren.
3. "Check Summe" Spalte V zeigt an, ob die Summen der WPs und der Strafzeit die Fahrzeitzeit ergibt
4. "Check Sortierung" Saplte W zeigt an, ob die Fahrtzeiten von klein nach groß sortiert wurden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T1" authorId="0" shapeId="0" xr:uid="{0F487478-F321-45B4-88EE-D41DEE49DDF5}">
      <text>
        <r>
          <rPr>
            <b/>
            <sz val="9"/>
            <color indexed="81"/>
            <rFont val="Segoe UI"/>
            <family val="2"/>
          </rPr>
          <t>Luisa Angebrandt:</t>
        </r>
        <r>
          <rPr>
            <sz val="9"/>
            <color indexed="81"/>
            <rFont val="Segoe UI"/>
            <family val="2"/>
          </rPr>
          <t xml:space="preserve">
1. Starternummer der Gruppe X in die Spalte E "St.-Nr." eintragen
2. Spalte M "Gesamtzeit" von A bis Z sortieren.
3. "Check Sortierung" in R zeigt einen Fehler, wenn die Gesamtzeit nicht von klein nach groß sortiert wurde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T1" authorId="0" shapeId="0" xr:uid="{C03B17EF-4036-481B-9AC6-DC90A1612A86}">
      <text>
        <r>
          <rPr>
            <b/>
            <sz val="9"/>
            <color indexed="81"/>
            <rFont val="Segoe UI"/>
            <family val="2"/>
          </rPr>
          <t>Luisa Angebrandt:</t>
        </r>
        <r>
          <rPr>
            <sz val="9"/>
            <color indexed="81"/>
            <rFont val="Segoe UI"/>
            <family val="2"/>
          </rPr>
          <t xml:space="preserve">
1. Starternummer der Gruppe X in die Spalte E "St.-Nr." eintragen
2. Spalte M "Gesamtzeit" von A bis Z sortieren.
3. "Check Sortierung" in R zeigt einen Fehler, wenn die Gesamtzeit nicht von klein nach groß sortiert wurde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T1" authorId="0" shapeId="0" xr:uid="{87782719-D79B-48BD-B15F-9EE397F0353A}">
      <text>
        <r>
          <rPr>
            <b/>
            <sz val="9"/>
            <color indexed="81"/>
            <rFont val="Segoe UI"/>
            <family val="2"/>
          </rPr>
          <t>Luisa Angebrandt:</t>
        </r>
        <r>
          <rPr>
            <sz val="9"/>
            <color indexed="81"/>
            <rFont val="Segoe UI"/>
            <family val="2"/>
          </rPr>
          <t xml:space="preserve">
1. Starternummer der Gruppe X in die Spalte E "St.-Nr." eintragen
2. Spalte M "Gesamtzeit" von A bis Z sortieren.
3. "Check Sortierung" in R zeigt einen Fehler, wenn die Gesamtzeit nicht von klein nach groß sortiert wurde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U1" authorId="0" shapeId="0" xr:uid="{8DC80EC5-FE52-4A78-83DE-B009BA7031A6}">
      <text>
        <r>
          <rPr>
            <b/>
            <sz val="9"/>
            <color indexed="81"/>
            <rFont val="Segoe UI"/>
            <family val="2"/>
          </rPr>
          <t>Luisa Angebrandt:</t>
        </r>
        <r>
          <rPr>
            <sz val="9"/>
            <color indexed="81"/>
            <rFont val="Segoe UI"/>
            <family val="2"/>
          </rPr>
          <t xml:space="preserve">
1. Alle Starternummern in die Spalte E "St.-Nr." eintragen
2. Spalte M "Gesamtzeit" von A bis Z sortieren.
3. "Check Sortierung" in S zeigt einen Fehler, wenn die Gesamtzeit nicht von klein nach groß sortiert wurde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Z1" authorId="0" shapeId="0" xr:uid="{1AD10915-0F1C-440D-B8A3-8478B8B958A3}">
      <text>
        <r>
          <rPr>
            <b/>
            <sz val="9"/>
            <color indexed="81"/>
            <rFont val="Segoe UI"/>
            <family val="2"/>
          </rPr>
          <t>Luisa Angebrandt:</t>
        </r>
        <r>
          <rPr>
            <sz val="9"/>
            <color indexed="81"/>
            <rFont val="Segoe UI"/>
            <family val="2"/>
          </rPr>
          <t xml:space="preserve">
1. Starternummer der Gruppe x Klasse y in die Spalte D "St.-Nr." eintragen
2. Spalte S "Fahrtzeit" von A bis Z sortieren.
3. "Check Summe" Spalte V zeigt an, ob die Summen der WPs und der Strafzeit die Fahrzeitzeit ergibt
4. "Check Sortierung" Saplte W zeigt an, ob die Fahrtzeiten von klein nach groß sortiert wurden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O1" authorId="0" shapeId="0" xr:uid="{CDA5AAA5-B45E-444B-8B74-CEC925871D8F}">
      <text>
        <r>
          <rPr>
            <b/>
            <sz val="9"/>
            <color indexed="81"/>
            <rFont val="Segoe UI"/>
            <family val="2"/>
          </rPr>
          <t>Luisa Angebrandt:</t>
        </r>
        <r>
          <rPr>
            <sz val="9"/>
            <color indexed="81"/>
            <rFont val="Segoe UI"/>
            <family val="2"/>
          </rPr>
          <t xml:space="preserve">
1. in Spalte E "St.-Nr." müssen die einzelnen Startnummern eingetragen werden
2. Je WP müssen danach die Uhrzeiteiten von Start und Ziel eingetragen werden. Je Excelzelle zwei Ziffern für Stunden, Minuten, Sekunden und Hundertstel
3. Die Strafzeit muss immer mit einer Belegung versehen sein (daher steht überall voarb 00:00:00:00). Wenn jemand eine Strafe erhält muss diese dann ebenfalls im Format hh:mm:ss,00 eingegeben werden
4. Über den Eingabespalten befindet sich ein Check, der prüft ob die eingegebenen Zahlen über 23 (Stunden), 59 (Minuten udn Sekunden) und 99 (Hundertstel) sind
5. ADWs werden hier einfach farblich markiert
6. Werden weniger als 6 WPs gefahren, so können die nicht nötigen WPs ausgeblendet werden. Wenn man sie löscht muss man Formeln in Ausgabetabelle anpassen!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G3" authorId="0" shapeId="0" xr:uid="{D5C9822F-CED9-4A49-A499-757AE118C0C7}">
      <text>
        <r>
          <rPr>
            <b/>
            <sz val="9"/>
            <color indexed="81"/>
            <rFont val="Segoe UI"/>
            <family val="2"/>
          </rPr>
          <t>Luisa Angebrandt:</t>
        </r>
        <r>
          <rPr>
            <sz val="9"/>
            <color indexed="81"/>
            <rFont val="Segoe UI"/>
            <family val="2"/>
          </rPr>
          <t xml:space="preserve">
1. in Spalte B "St.-Nr." müssen die einzelnen Startnummern eingetragen werden
2. Bei "Max Zeit:" muss die Max Zeit der jeweiligen WP eingetragen werden.
3. Der Check ""Check &gt; max Zeit" zeigt an wenn eine Fahrzeit über der Maxzeit ist. Hier muss dann manuell die gefahrene Zeit durch die Maxzeit ersetzt werden.
4. ADWs werden manuell mit ADW ab der entsprechenden WP als "Fahrzeit" eingetragen
5. Werden weniger als 6 WPs gefahren, so können die nicht nötigen WPs ausgeblendet werden. Wenn man sie löscht muss man Formeln in Klassenauswertungen anpassen!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AA1" authorId="0" shapeId="0" xr:uid="{595C4D4F-0CFA-4DBC-9A5D-8E9D637410D2}">
      <text>
        <r>
          <rPr>
            <b/>
            <sz val="9"/>
            <color indexed="81"/>
            <rFont val="Segoe UI"/>
            <family val="2"/>
          </rPr>
          <t>Luisa Angebrandt:</t>
        </r>
        <r>
          <rPr>
            <sz val="9"/>
            <color indexed="81"/>
            <rFont val="Segoe UI"/>
            <family val="2"/>
          </rPr>
          <t xml:space="preserve">
1. Starternummer der Gruppe x Klasse y in die Spalte D "St.-Nr." eintragen
2. Spalte S "Fahrtzeit" von A bis Z sortieren.
3. "Check Summe" Spalte V zeigt an, ob die Summen der WPs und der Strafzeit die Fahrzeitzeit ergibt
4. "Check Sortierung" Spalte W zeigt an, ob die Fahrtzeiten von klein nach groß sortiert wurden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AA1" authorId="0" shapeId="0" xr:uid="{1E3BF7C4-EBAF-43C4-AC60-6E4611F9CC87}">
      <text>
        <r>
          <rPr>
            <b/>
            <sz val="9"/>
            <color indexed="81"/>
            <rFont val="Segoe UI"/>
            <family val="2"/>
          </rPr>
          <t>Luisa Angebrandt:</t>
        </r>
        <r>
          <rPr>
            <sz val="9"/>
            <color indexed="81"/>
            <rFont val="Segoe UI"/>
            <family val="2"/>
          </rPr>
          <t xml:space="preserve">
1. Starternummer der Gruppe x Klasse y in die Spalte D "St.-Nr." eintragen
2. Spalte S "Fahrtzeit" von A bis Z sortieren.
3. "Check Summe" Spalte V zeigt an, ob die Summen der WPs und der Strafzeit die Fahrzeitzeit ergibt
4. "Check Sortierung" Saplte W zeigt an, ob die Fahrtzeiten von klein nach groß sortiert wurden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AA1" authorId="0" shapeId="0" xr:uid="{D7A88D44-527F-4180-8513-8CB76E49172B}">
      <text>
        <r>
          <rPr>
            <b/>
            <sz val="9"/>
            <color indexed="81"/>
            <rFont val="Segoe UI"/>
            <family val="2"/>
          </rPr>
          <t>Luisa Angebrandt:</t>
        </r>
        <r>
          <rPr>
            <sz val="9"/>
            <color indexed="81"/>
            <rFont val="Segoe UI"/>
            <family val="2"/>
          </rPr>
          <t xml:space="preserve">
1. Starternummer der Gruppe x Klasse y in die Spalte D "St.-Nr." eintragen
2. Spalte S "Fahrtzeit" von A bis Z sortieren.
3. "Check Summe" Spalte V zeigt an, ob die Summen der WPs und der Strafzeit die Fahrzeitzeit ergibt
4. "Check Sortierung" Saplte W zeigt an, ob die Fahrtzeiten von klein nach groß sortiert wurden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AA1" authorId="0" shapeId="0" xr:uid="{A27CA712-D178-4A66-A973-D5ED7863A7FB}">
      <text>
        <r>
          <rPr>
            <b/>
            <sz val="9"/>
            <color indexed="81"/>
            <rFont val="Segoe UI"/>
            <family val="2"/>
          </rPr>
          <t>Luisa Angebrandt:</t>
        </r>
        <r>
          <rPr>
            <sz val="9"/>
            <color indexed="81"/>
            <rFont val="Segoe UI"/>
            <family val="2"/>
          </rPr>
          <t xml:space="preserve">
1. Starternummer der Gruppe x Klasse y in die Spalte D "St.-Nr." eintragen
2. Spalte S "Fahrtzeit" von A bis Z sortieren.
3. "Check Summe" Spalte V zeigt an, ob die Summen der WPs und der Strafzeit die Fahrzeitzeit ergibt
4. "Check Sortierung" Saplte W zeigt an, ob die Fahrtzeiten von klein nach groß sortiert wurden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AA1" authorId="0" shapeId="0" xr:uid="{FC250615-C6C4-4E17-BFD4-B507F9A9FFDE}">
      <text>
        <r>
          <rPr>
            <b/>
            <sz val="9"/>
            <color indexed="81"/>
            <rFont val="Segoe UI"/>
            <family val="2"/>
          </rPr>
          <t>Luisa Angebrandt:</t>
        </r>
        <r>
          <rPr>
            <sz val="9"/>
            <color indexed="81"/>
            <rFont val="Segoe UI"/>
            <family val="2"/>
          </rPr>
          <t xml:space="preserve">
1. Starternummer der Gruppe x Klasse y in die Spalte D "St.-Nr." eintragen
2. Spalte S "Fahrtzeit" von A bis Z sortieren.
3. "Check Summe" Spalte V zeigt an, ob die Summen der WPs und der Strafzeit die Fahrzeitzeit ergibt
4. "Check Sortierung" Saplte W zeigt an, ob die Fahrtzeiten von klein nach groß sortiert wurden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Luisa Angebrandt</author>
  </authors>
  <commentList>
    <comment ref="AA1" authorId="0" shapeId="0" xr:uid="{A65022E4-314F-49F4-B229-D282D220CEAC}">
      <text>
        <r>
          <rPr>
            <b/>
            <sz val="9"/>
            <color indexed="81"/>
            <rFont val="Segoe UI"/>
            <family val="2"/>
          </rPr>
          <t>Luisa Angebrandt:</t>
        </r>
        <r>
          <rPr>
            <sz val="9"/>
            <color indexed="81"/>
            <rFont val="Segoe UI"/>
            <family val="2"/>
          </rPr>
          <t xml:space="preserve">
1. Starternummer der Gruppe x Klasse y in die Spalte D "St.-Nr." eintragen
2. Spalte S "Fahrtzeit" von A bis Z sortieren.
3. "Check Summe" Spalte V zeigt an, ob die Summen der WPs und der Strafzeit die Fahrzeitzeit ergibt
4. "Check Sortierung" Saplte W zeigt an, ob die Fahrtzeiten von klein nach groß sortiert wurden
</t>
        </r>
      </text>
    </comment>
  </commentList>
</comments>
</file>

<file path=xl/sharedStrings.xml><?xml version="1.0" encoding="utf-8"?>
<sst xmlns="http://schemas.openxmlformats.org/spreadsheetml/2006/main" count="1302" uniqueCount="350">
  <si>
    <t>20. Fürst von Wrede Rallye 2024</t>
  </si>
  <si>
    <t>Start-Nr.</t>
  </si>
  <si>
    <t>Gruppe</t>
  </si>
  <si>
    <t>Klasse</t>
  </si>
  <si>
    <t>Fahrer</t>
  </si>
  <si>
    <t>DAM-Nr.</t>
  </si>
  <si>
    <t>Club</t>
  </si>
  <si>
    <t>Beifahrer</t>
  </si>
  <si>
    <t>Fahrzeug</t>
  </si>
  <si>
    <t>Starterzahlen nach 
Gruppen/Klassen/Gesamt</t>
  </si>
  <si>
    <t>Anzahl Pokale</t>
  </si>
  <si>
    <t>Brunken Wilfried</t>
  </si>
  <si>
    <t>MSC Ramberg</t>
  </si>
  <si>
    <t>Dietrich Manuela</t>
  </si>
  <si>
    <t>Mitsubishi EVO X</t>
  </si>
  <si>
    <t>Gruppe 1:</t>
  </si>
  <si>
    <t>Klasse 2:</t>
  </si>
  <si>
    <t>Gold</t>
  </si>
  <si>
    <t>G</t>
  </si>
  <si>
    <t>Schulze Stefan</t>
  </si>
  <si>
    <t>MSC Mamming</t>
  </si>
  <si>
    <t>Kuhn Lisa</t>
  </si>
  <si>
    <t>-</t>
  </si>
  <si>
    <t>Subaru Impreza</t>
  </si>
  <si>
    <t>Klasse 3:</t>
  </si>
  <si>
    <t>Silber</t>
  </si>
  <si>
    <t>S</t>
  </si>
  <si>
    <t>Köhler Stephan</t>
  </si>
  <si>
    <t>Schachtner Michaela</t>
  </si>
  <si>
    <t>MSC Emmersdorf</t>
  </si>
  <si>
    <t>Mitsubishi EV6</t>
  </si>
  <si>
    <t>Klasse 4:</t>
  </si>
  <si>
    <t>Bronze</t>
  </si>
  <si>
    <t>B</t>
  </si>
  <si>
    <t>Rader Manfred</t>
  </si>
  <si>
    <t>Hierbeck Andreas</t>
  </si>
  <si>
    <t>Audi 80 Quattro</t>
  </si>
  <si>
    <t>Klasse 5:</t>
  </si>
  <si>
    <t>Erinnerung</t>
  </si>
  <si>
    <t>E</t>
  </si>
  <si>
    <t>Rest</t>
  </si>
  <si>
    <t>Paul Gerhard</t>
  </si>
  <si>
    <t>AC Gunzenhausen</t>
  </si>
  <si>
    <t>Paul Jana</t>
  </si>
  <si>
    <t>BMW E30ix</t>
  </si>
  <si>
    <t>Gruppe 2:</t>
  </si>
  <si>
    <t>Klasse 6:</t>
  </si>
  <si>
    <t>Honke Reinhard</t>
  </si>
  <si>
    <t>AC Bayreuth</t>
  </si>
  <si>
    <t>Heinze Michael</t>
  </si>
  <si>
    <t>MSC Fränkische Schweiz</t>
  </si>
  <si>
    <t>Mitsubishi Lancer Evo 10</t>
  </si>
  <si>
    <t>Klasse 7:</t>
  </si>
  <si>
    <t>Kübler Ulrich</t>
  </si>
  <si>
    <t>HMC Öhringen</t>
  </si>
  <si>
    <t>Kübler Rick</t>
  </si>
  <si>
    <t>Mitsubishi Lancer EVO 8</t>
  </si>
  <si>
    <t>Klasse 8:</t>
  </si>
  <si>
    <t>Anleitung</t>
  </si>
  <si>
    <t>Wallner Jakob</t>
  </si>
  <si>
    <t>MSC Kitzbühel</t>
  </si>
  <si>
    <t>Pail Julia</t>
  </si>
  <si>
    <t>Lancia Delta integrale 16v</t>
  </si>
  <si>
    <t>Klasse 9:</t>
  </si>
  <si>
    <t>Stütz Ralf</t>
  </si>
  <si>
    <t>Hertfelder Albert</t>
  </si>
  <si>
    <t>Mitsubishi Lancer EVO</t>
  </si>
  <si>
    <t>Klasse 10:</t>
  </si>
  <si>
    <t>Schweiger Andreas</t>
  </si>
  <si>
    <t>Strobl Philip</t>
  </si>
  <si>
    <t>SCC Grünthal</t>
  </si>
  <si>
    <t>Mitsubishi Lancer Evo 7</t>
  </si>
  <si>
    <t>Gruppe 3:</t>
  </si>
  <si>
    <t>Klasse 11:</t>
  </si>
  <si>
    <t>Wundsam Sebastian</t>
  </si>
  <si>
    <t>SWF Weidwies</t>
  </si>
  <si>
    <t>Summer Sebastian</t>
  </si>
  <si>
    <t>BMW E36 M3</t>
  </si>
  <si>
    <t>Gesamt:</t>
  </si>
  <si>
    <t>Ederer Marcus</t>
  </si>
  <si>
    <t>Winnik Stella</t>
  </si>
  <si>
    <t>.</t>
  </si>
  <si>
    <t>BMW M3</t>
  </si>
  <si>
    <t>Check Starter ohne Klasse</t>
  </si>
  <si>
    <t>Köhler Fritz</t>
  </si>
  <si>
    <t>Hägele Petra</t>
  </si>
  <si>
    <t>BMW M3 e30</t>
  </si>
  <si>
    <t>Oest Marc</t>
  </si>
  <si>
    <t>Oest Thomas</t>
  </si>
  <si>
    <t>BMW 540i</t>
  </si>
  <si>
    <t>Schad Carsten</t>
  </si>
  <si>
    <t>AMC Bad Königshofen</t>
  </si>
  <si>
    <t>Schad Alicia</t>
  </si>
  <si>
    <t>BMW M3 e36</t>
  </si>
  <si>
    <t>Müller Werner</t>
  </si>
  <si>
    <t>Trabs Jasmin</t>
  </si>
  <si>
    <t>BMW BMW M3</t>
  </si>
  <si>
    <t>Haselbeck Maximilian</t>
  </si>
  <si>
    <t>Haselbeck Alexander</t>
  </si>
  <si>
    <t>BMW 328i</t>
  </si>
  <si>
    <t>Stangl Mathias</t>
  </si>
  <si>
    <t>Stangl Michael</t>
  </si>
  <si>
    <t>BMW 320I (e36)</t>
  </si>
  <si>
    <t>Russ Armin</t>
  </si>
  <si>
    <t>MSC Untergröningen / MC Einsingen</t>
  </si>
  <si>
    <t>Hess Sarah</t>
  </si>
  <si>
    <t>BMW E30 318is</t>
  </si>
  <si>
    <t>Bader Steffen</t>
  </si>
  <si>
    <t>Laib Dieter</t>
  </si>
  <si>
    <t>Opel Kadett C</t>
  </si>
  <si>
    <t>Schindler Thomas</t>
  </si>
  <si>
    <t>Bader Alina</t>
  </si>
  <si>
    <t>MSC Untergröningen</t>
  </si>
  <si>
    <t>Honda Civic</t>
  </si>
  <si>
    <t>Spieß Jürgen</t>
  </si>
  <si>
    <t>Wythe Axel</t>
  </si>
  <si>
    <t>Opel Ascona B</t>
  </si>
  <si>
    <t>Böhringer Jochen</t>
  </si>
  <si>
    <t>HWRT Wohlmuthausen</t>
  </si>
  <si>
    <t>Arnold Patrick</t>
  </si>
  <si>
    <t>BMW E30 - 318 IS</t>
  </si>
  <si>
    <t>Wünsch Oliver</t>
  </si>
  <si>
    <t>Scuderia Offenbach / Orange Motorsport</t>
  </si>
  <si>
    <t>Manger Moritz</t>
  </si>
  <si>
    <t>Scuderia Offenbach</t>
  </si>
  <si>
    <t>VW Golf II GTI 16V</t>
  </si>
  <si>
    <t>Hammel Daniel</t>
  </si>
  <si>
    <t>Klotz Matthias</t>
  </si>
  <si>
    <t>Honda Civic Type-R FN2</t>
  </si>
  <si>
    <t>Kögl Hans</t>
  </si>
  <si>
    <t>MSF Freising</t>
  </si>
  <si>
    <t>Schwaiger Thomas</t>
  </si>
  <si>
    <t>Opel Kadett E GSI</t>
  </si>
  <si>
    <t>Teves Daniel</t>
  </si>
  <si>
    <t>Taunus-Racing-Team</t>
  </si>
  <si>
    <t>Meditz Michael</t>
  </si>
  <si>
    <t>BMW 318 IS CUP</t>
  </si>
  <si>
    <t>Kraus Florian</t>
  </si>
  <si>
    <t>Thiel Sabrina</t>
  </si>
  <si>
    <t>MSC Jura</t>
  </si>
  <si>
    <t>VW Golf 3</t>
  </si>
  <si>
    <t>Röhrig Christian</t>
  </si>
  <si>
    <t>MSC Zorn</t>
  </si>
  <si>
    <t>Behnke Jonas</t>
  </si>
  <si>
    <t>Peugeot 309 GTI</t>
  </si>
  <si>
    <t>Jäger Dirk</t>
  </si>
  <si>
    <t>Hofmann Angela</t>
  </si>
  <si>
    <t>BMW 318is</t>
  </si>
  <si>
    <t>Litzius Kurt</t>
  </si>
  <si>
    <t>Litzius Mandy</t>
  </si>
  <si>
    <t>MSC Mamming / AMC Arzbach</t>
  </si>
  <si>
    <t>Opel Kadett C Coupé</t>
  </si>
  <si>
    <t>Kohler Sven</t>
  </si>
  <si>
    <t>RC Pommes</t>
  </si>
  <si>
    <t>Hinrichs Anna</t>
  </si>
  <si>
    <t>RG Ga(a)s</t>
  </si>
  <si>
    <t>BMW E30 320is</t>
  </si>
  <si>
    <t>Kohler Erhard</t>
  </si>
  <si>
    <t>Kohler Maren</t>
  </si>
  <si>
    <t>Kübler Oliver</t>
  </si>
  <si>
    <t>Hochhäuser Michael</t>
  </si>
  <si>
    <t>Schwarz Timo</t>
  </si>
  <si>
    <t>Himmelstoß Florian</t>
  </si>
  <si>
    <t>Opel Manta B</t>
  </si>
  <si>
    <t>Kohl Bernd</t>
  </si>
  <si>
    <t>ASC Wilhelmsfeld</t>
  </si>
  <si>
    <t>Oster Roland</t>
  </si>
  <si>
    <t>BMW E30 318 IS</t>
  </si>
  <si>
    <t>Müller Moritz</t>
  </si>
  <si>
    <t>Müller Lukas</t>
  </si>
  <si>
    <t>Honda FN2</t>
  </si>
  <si>
    <t>Bruchhäuser Gil</t>
  </si>
  <si>
    <t>Kölsch Björn</t>
  </si>
  <si>
    <t>Citroën C2 R2 Max</t>
  </si>
  <si>
    <t>Preis Gerhard</t>
  </si>
  <si>
    <t>Zellner Samuel</t>
  </si>
  <si>
    <t>VW Polo GTI</t>
  </si>
  <si>
    <t>Lange Kay Mario Oliver</t>
  </si>
  <si>
    <t>Lange Nina</t>
  </si>
  <si>
    <t>Drexler Matthias</t>
  </si>
  <si>
    <t>Rallyeteam Drexler</t>
  </si>
  <si>
    <t>Berger Daniel</t>
  </si>
  <si>
    <t>VW Golf II</t>
  </si>
  <si>
    <t>Schmitt Thomas</t>
  </si>
  <si>
    <t>Sommer Petra</t>
  </si>
  <si>
    <t>Toyota Corolla GT</t>
  </si>
  <si>
    <t>Michel Torsten</t>
  </si>
  <si>
    <t>Chaosteam Motorsport</t>
  </si>
  <si>
    <t>Diehm Samantha</t>
  </si>
  <si>
    <t>Ford Fiesta Rally 4</t>
  </si>
  <si>
    <t>Preis sen. Gerhard</t>
  </si>
  <si>
    <t>Ilgmeier Erwin</t>
  </si>
  <si>
    <t>Peugeot 206</t>
  </si>
  <si>
    <t>Gärtner Daniel</t>
  </si>
  <si>
    <t>B+G Rallyesport</t>
  </si>
  <si>
    <t>Gärtner Yvonne</t>
  </si>
  <si>
    <t>VW Golf I</t>
  </si>
  <si>
    <t>Kahler Patrick</t>
  </si>
  <si>
    <t>1stTime2nd-Rallyesport</t>
  </si>
  <si>
    <t>Schöppach Dominic</t>
  </si>
  <si>
    <t>Citroën Saxo VTS</t>
  </si>
  <si>
    <t>Griesdorn Sebastian</t>
  </si>
  <si>
    <t>BG Rallyesport</t>
  </si>
  <si>
    <t>Bitsch Marco</t>
  </si>
  <si>
    <t>Berger Axel</t>
  </si>
  <si>
    <t>Berger Marc</t>
  </si>
  <si>
    <t>Opel Corsa A</t>
  </si>
  <si>
    <t>Werner Harald</t>
  </si>
  <si>
    <t>RST Mittelfranken</t>
  </si>
  <si>
    <t>Bratfisch-Beltz Thomas</t>
  </si>
  <si>
    <t>MSC Berg</t>
  </si>
  <si>
    <t>Mitsubishi Colt</t>
  </si>
  <si>
    <t>Schützmeier Stefan</t>
  </si>
  <si>
    <t>Becker &amp; Bosch Racing Team</t>
  </si>
  <si>
    <t>Ritter Susann</t>
  </si>
  <si>
    <t>Suzuki Swift GTi</t>
  </si>
  <si>
    <t>Thiel Rainer</t>
  </si>
  <si>
    <t>Thiel Daniel</t>
  </si>
  <si>
    <t>FIAT Panda</t>
  </si>
  <si>
    <t>Sarkowski Alfred</t>
  </si>
  <si>
    <t>Sollinger Christoph</t>
  </si>
  <si>
    <t>Selzer Team Mirskofen</t>
  </si>
  <si>
    <t>VW Polo 86 c</t>
  </si>
  <si>
    <t>Scheidhammer Alois</t>
  </si>
  <si>
    <t>Regner August</t>
  </si>
  <si>
    <t>Nissan Z350</t>
  </si>
  <si>
    <t>Biendl Willibald</t>
  </si>
  <si>
    <t>Schwaiger Viktoria</t>
  </si>
  <si>
    <t>BMW 323ti</t>
  </si>
  <si>
    <t>Knese Fabian</t>
  </si>
  <si>
    <t>UMC Ulm / MC Einsingen / MSC Mamming</t>
  </si>
  <si>
    <t>Sancakli Dean</t>
  </si>
  <si>
    <t>BMW E36</t>
  </si>
  <si>
    <t>Humburg Korbinian</t>
  </si>
  <si>
    <t>Pöschl Manfred</t>
  </si>
  <si>
    <t>BMW E36 328i</t>
  </si>
  <si>
    <t>Kühnlein Matthias</t>
  </si>
  <si>
    <t>Funk Christian</t>
  </si>
  <si>
    <t>Mercedes-Benz C230 Sportcoupe</t>
  </si>
  <si>
    <t>Stör Andreas</t>
  </si>
  <si>
    <t>Haderlein Jan</t>
  </si>
  <si>
    <t>Hillreiner Stefan</t>
  </si>
  <si>
    <t>Scuderia Neuburg</t>
  </si>
  <si>
    <t>Alzheimer Dominik</t>
  </si>
  <si>
    <t>Audi TTRS</t>
  </si>
  <si>
    <t>Schulze Enrico</t>
  </si>
  <si>
    <t>Boxenstop Regensburg</t>
  </si>
  <si>
    <t>Lockstet Sebastian</t>
  </si>
  <si>
    <t>VEB Konsum Genossenschaft Mücheln</t>
  </si>
  <si>
    <t>Neumaier Martin</t>
  </si>
  <si>
    <t>Neumaier Martina</t>
  </si>
  <si>
    <t>VW Golf II 16V</t>
  </si>
  <si>
    <t>Schachtner Johann</t>
  </si>
  <si>
    <t>Haller Melanie</t>
  </si>
  <si>
    <t>MSC Mamming / SCC Grünthal</t>
  </si>
  <si>
    <t>Mazda MX 5</t>
  </si>
  <si>
    <t>Leidel Stefan</t>
  </si>
  <si>
    <t>Nemeth Christian</t>
  </si>
  <si>
    <t>BMW E30 318IS</t>
  </si>
  <si>
    <t>Meier Georg</t>
  </si>
  <si>
    <t>Eder Markus</t>
  </si>
  <si>
    <t>BMW 318ti</t>
  </si>
  <si>
    <t>Oberneder Josef</t>
  </si>
  <si>
    <t>Krenn Christina</t>
  </si>
  <si>
    <t>VW Golf 2</t>
  </si>
  <si>
    <t>Walter Gerhard</t>
  </si>
  <si>
    <t>Schwarz Georg</t>
  </si>
  <si>
    <t>BMW 318IS</t>
  </si>
  <si>
    <t>Deisinger Justin</t>
  </si>
  <si>
    <t>Deisinger Motorsport</t>
  </si>
  <si>
    <t>Ochs Maximilian</t>
  </si>
  <si>
    <t>Opel Kadett E GSi</t>
  </si>
  <si>
    <t>Heider Daniel</t>
  </si>
  <si>
    <t>Heider Michael</t>
  </si>
  <si>
    <t>Schuhmacher Helmut</t>
  </si>
  <si>
    <t>ADAC OC Schwäbisch Hall</t>
  </si>
  <si>
    <t>Schuhmacher Marcel</t>
  </si>
  <si>
    <t>BMW E36 318is</t>
  </si>
  <si>
    <t>Ateia Tarek</t>
  </si>
  <si>
    <t>Spiske Andreas</t>
  </si>
  <si>
    <t>Eingabemaske</t>
  </si>
  <si>
    <t>Umwandlung in Uhrzeiten</t>
  </si>
  <si>
    <t>Anzahl Teilnehmer</t>
  </si>
  <si>
    <t>Check</t>
  </si>
  <si>
    <t>&gt; 23</t>
  </si>
  <si>
    <t>&gt;59</t>
  </si>
  <si>
    <t>&gt;99</t>
  </si>
  <si>
    <t>ADW</t>
  </si>
  <si>
    <t>WP 1</t>
  </si>
  <si>
    <t>WP 2</t>
  </si>
  <si>
    <t>WP 3</t>
  </si>
  <si>
    <t>WP 4</t>
  </si>
  <si>
    <t>WP 5</t>
  </si>
  <si>
    <t>WP 6</t>
  </si>
  <si>
    <t>Wege</t>
  </si>
  <si>
    <t>Uhrzeit Start</t>
  </si>
  <si>
    <t>Uhrzeit Ziel</t>
  </si>
  <si>
    <t>Strafzeit</t>
  </si>
  <si>
    <t>Uhrzeit 
Ziel</t>
  </si>
  <si>
    <t>St.-Nr.</t>
  </si>
  <si>
    <t>hh:</t>
  </si>
  <si>
    <t>mm:</t>
  </si>
  <si>
    <t>ss,</t>
  </si>
  <si>
    <t>00</t>
  </si>
  <si>
    <t>hh:mm:ss,00</t>
  </si>
  <si>
    <t>Check &gt; max Zeit</t>
  </si>
  <si>
    <t>Zeitausgabe</t>
  </si>
  <si>
    <t>Max Zeit:</t>
  </si>
  <si>
    <t>GESAMT</t>
  </si>
  <si>
    <t>Fahrt-
zeit</t>
  </si>
  <si>
    <t>Straf- 
zeit</t>
  </si>
  <si>
    <t>Gesamt- 
zeit</t>
  </si>
  <si>
    <t>bis Platz</t>
  </si>
  <si>
    <t>Check Summe</t>
  </si>
  <si>
    <t>Check Sortierung</t>
  </si>
  <si>
    <t>Wertungsliste</t>
  </si>
  <si>
    <t>Gruppe 1</t>
  </si>
  <si>
    <t>Teilnehmer</t>
  </si>
  <si>
    <t>Platz</t>
  </si>
  <si>
    <t>P</t>
  </si>
  <si>
    <t>Zeit
WP1</t>
  </si>
  <si>
    <t>Zeit
WP2</t>
  </si>
  <si>
    <t>Zeit
WP3</t>
  </si>
  <si>
    <t>Zeit
WP4</t>
  </si>
  <si>
    <t>Zeit
WP5</t>
  </si>
  <si>
    <t>Zeit
WP6</t>
  </si>
  <si>
    <t>Gesamtzeit</t>
  </si>
  <si>
    <t>Klassen punkte</t>
  </si>
  <si>
    <t>Gruppe 2</t>
  </si>
  <si>
    <t>Gruppe 3</t>
  </si>
  <si>
    <t>Klassen Punkte</t>
  </si>
  <si>
    <t>Gruppen Punkte</t>
  </si>
  <si>
    <t>Meisterschafts DAM Punkte</t>
  </si>
  <si>
    <t>Gesamt</t>
  </si>
  <si>
    <t>Quelle für Mannschaftswertung</t>
  </si>
  <si>
    <t>Gesamt-zeit</t>
  </si>
  <si>
    <t>Mannschaften</t>
  </si>
  <si>
    <t>Mannschaft: "Speedway Freunde Weidwies"</t>
  </si>
  <si>
    <t>Punkte</t>
  </si>
  <si>
    <t>DAM-Punkte</t>
  </si>
  <si>
    <t>Mannschaft "Die, die nie was trinken"</t>
  </si>
  <si>
    <t>Mannschaft "Haberfeldtreiber"</t>
  </si>
  <si>
    <t>Vorläufige Zwischenzeiten (ohne Fehler!)</t>
  </si>
  <si>
    <t>Ausfahrtzeiten für die Einführungszeiten</t>
  </si>
  <si>
    <t>Beginn</t>
  </si>
  <si>
    <t>Abstand</t>
  </si>
  <si>
    <t>Start.Nr.</t>
  </si>
  <si>
    <t>Zeit</t>
  </si>
  <si>
    <t>Ausfahrtzeiten für die Wertungsrunde</t>
  </si>
  <si>
    <t>Uhrzeit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</si>
</sst>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mm:ss.00"/>
    <numFmt numFmtId="165" formatCode="hh:mm:ss.00"/>
    <numFmt numFmtId="166" formatCode="#,##0.00_ ;\-#,##0.00\ "/>
    <numFmt numFmtId="167" formatCode="0.0"/>
    <numFmt numFmtId="168" formatCode="_-* #,##0\ _€_-;\-* #,##0\ _€_-;_-* &quot;-&quot;\ _€_-;_-@_-"/>
    <numFmt numFmtId="169" formatCode="[$-F400]h:mm:ss\ AM/PM"/>
  </numFmts>
  <fonts count="67">
    <font>
      <sz val="11"/>
      <color theme="1"/>
      <name val="Calibri"/>
      <family val="2"/>
      <scheme val="minor"/>
    </font>
    <font>
      <sz val="8"/>
      <name val="Arial"/>
      <family val="2"/>
    </font>
    <font>
      <b/>
      <sz val="10"/>
      <name val="Arial"/>
      <family val="2"/>
    </font>
    <font>
      <sz val="10"/>
      <name val="Arial"/>
      <family val="2"/>
    </font>
    <font>
      <sz val="11"/>
      <color theme="1"/>
      <name val="Arial"/>
      <family val="2"/>
    </font>
    <font>
      <b/>
      <i/>
      <sz val="16"/>
      <name val="Arial"/>
      <family val="2"/>
    </font>
    <font>
      <i/>
      <sz val="16"/>
      <name val="Arial"/>
      <family val="2"/>
    </font>
    <font>
      <b/>
      <sz val="12"/>
      <name val="Arial"/>
      <family val="2"/>
    </font>
    <font>
      <i/>
      <sz val="8"/>
      <color rgb="FFFF0000"/>
      <name val="Arial"/>
      <family val="2"/>
    </font>
    <font>
      <sz val="11"/>
      <color theme="1"/>
      <name val="Calibri"/>
      <family val="2"/>
      <scheme val="minor"/>
    </font>
    <font>
      <sz val="11"/>
      <color rgb="FFFF0000"/>
      <name val="Arial"/>
      <family val="2"/>
    </font>
    <font>
      <i/>
      <sz val="10"/>
      <name val="Arial"/>
      <family val="2"/>
    </font>
    <font>
      <sz val="10"/>
      <color theme="1"/>
      <name val="Arial"/>
      <family val="2"/>
    </font>
    <font>
      <sz val="11"/>
      <color indexed="9"/>
      <name val="Arial"/>
      <family val="2"/>
    </font>
    <font>
      <sz val="7"/>
      <name val="Arial"/>
      <family val="2"/>
    </font>
    <font>
      <sz val="9"/>
      <color theme="1"/>
      <name val="Arial"/>
      <family val="2"/>
    </font>
    <font>
      <b/>
      <sz val="22"/>
      <name val="Arial"/>
      <family val="2"/>
    </font>
    <font>
      <sz val="11"/>
      <name val="Arial"/>
      <family val="2"/>
    </font>
    <font>
      <b/>
      <sz val="11"/>
      <name val="Arial"/>
      <family val="2"/>
    </font>
    <font>
      <b/>
      <sz val="11"/>
      <color indexed="9"/>
      <name val="Arial"/>
      <family val="2"/>
    </font>
    <font>
      <b/>
      <i/>
      <sz val="11"/>
      <color rgb="FFFF0000"/>
      <name val="Arial"/>
      <family val="2"/>
    </font>
    <font>
      <i/>
      <sz val="11"/>
      <color rgb="FFFF0000"/>
      <name val="Arial"/>
      <family val="2"/>
    </font>
    <font>
      <sz val="8"/>
      <color theme="1"/>
      <name val="Arial"/>
      <family val="2"/>
    </font>
    <font>
      <b/>
      <sz val="18"/>
      <color theme="1"/>
      <name val="Arial"/>
      <family val="2"/>
    </font>
    <font>
      <b/>
      <sz val="12"/>
      <color theme="0"/>
      <name val="Arial"/>
      <family val="2"/>
    </font>
    <font>
      <b/>
      <sz val="14"/>
      <color theme="0"/>
      <name val="Arial"/>
      <family val="2"/>
    </font>
    <font>
      <b/>
      <sz val="10"/>
      <color theme="0"/>
      <name val="Arial"/>
      <family val="2"/>
    </font>
    <font>
      <b/>
      <sz val="16"/>
      <color theme="0"/>
      <name val="Arial"/>
      <family val="2"/>
    </font>
    <font>
      <i/>
      <sz val="11"/>
      <name val="Arial"/>
      <family val="2"/>
    </font>
    <font>
      <i/>
      <sz val="9"/>
      <name val="Arial"/>
      <family val="2"/>
    </font>
    <font>
      <i/>
      <sz val="9"/>
      <color rgb="FFFF0000"/>
      <name val="Arial"/>
      <family val="2"/>
    </font>
    <font>
      <sz val="8"/>
      <color rgb="FFFF0000"/>
      <name val="Arial"/>
      <family val="2"/>
    </font>
    <font>
      <b/>
      <sz val="11"/>
      <color theme="1"/>
      <name val="Arial"/>
      <family val="2"/>
    </font>
    <font>
      <sz val="16"/>
      <color theme="1"/>
      <name val="Arial"/>
      <family val="2"/>
    </font>
    <font>
      <sz val="10"/>
      <color rgb="FFFF0000"/>
      <name val="Arial"/>
      <family val="2"/>
    </font>
    <font>
      <b/>
      <sz val="16"/>
      <name val="Arial"/>
      <family val="2"/>
    </font>
    <font>
      <b/>
      <sz val="8"/>
      <color rgb="FFFF0000"/>
      <name val="Arial"/>
      <family val="2"/>
    </font>
    <font>
      <sz val="9"/>
      <color indexed="81"/>
      <name val="Segoe UI"/>
      <family val="2"/>
    </font>
    <font>
      <b/>
      <sz val="9"/>
      <color indexed="81"/>
      <name val="Segoe UI"/>
      <family val="2"/>
    </font>
    <font>
      <i/>
      <u/>
      <sz val="16"/>
      <color theme="4"/>
      <name val="Arial"/>
      <family val="2"/>
    </font>
    <font>
      <i/>
      <sz val="16"/>
      <color theme="4"/>
      <name val="Arial"/>
      <family val="2"/>
    </font>
    <font>
      <sz val="11"/>
      <color theme="4"/>
      <name val="Arial"/>
      <family val="2"/>
    </font>
    <font>
      <i/>
      <sz val="9"/>
      <color theme="4"/>
      <name val="Arial"/>
      <family val="2"/>
    </font>
    <font>
      <i/>
      <sz val="16"/>
      <color theme="5" tint="-0.249977111117893"/>
      <name val="Arial"/>
      <family val="2"/>
    </font>
    <font>
      <sz val="11"/>
      <color theme="5" tint="-0.249977111117893"/>
      <name val="Arial"/>
      <family val="2"/>
    </font>
    <font>
      <b/>
      <sz val="10"/>
      <color theme="5" tint="-0.249977111117893"/>
      <name val="Arial"/>
      <family val="2"/>
    </font>
    <font>
      <sz val="8"/>
      <color theme="5" tint="-0.249977111117893"/>
      <name val="Arial"/>
      <family val="2"/>
    </font>
    <font>
      <sz val="10"/>
      <color theme="5" tint="-0.249977111117893"/>
      <name val="Arial"/>
      <family val="2"/>
    </font>
    <font>
      <i/>
      <sz val="9"/>
      <color theme="5" tint="-0.249977111117893"/>
      <name val="Arial"/>
      <family val="2"/>
    </font>
    <font>
      <b/>
      <sz val="14"/>
      <color theme="5" tint="-0.249977111117893"/>
      <name val="Arial"/>
      <family val="2"/>
    </font>
    <font>
      <i/>
      <sz val="16"/>
      <color theme="0" tint="-0.499984740745262"/>
      <name val="Arial"/>
      <family val="2"/>
    </font>
    <font>
      <i/>
      <sz val="11"/>
      <color theme="0" tint="-0.499984740745262"/>
      <name val="Arial"/>
      <family val="2"/>
    </font>
    <font>
      <b/>
      <i/>
      <sz val="10"/>
      <color theme="0" tint="-0.499984740745262"/>
      <name val="Arial"/>
      <family val="2"/>
    </font>
    <font>
      <i/>
      <sz val="9"/>
      <color theme="0" tint="-0.499984740745262"/>
      <name val="Arial"/>
      <family val="2"/>
    </font>
    <font>
      <sz val="12"/>
      <color theme="1"/>
      <name val="Arial"/>
      <family val="2"/>
    </font>
    <font>
      <sz val="12"/>
      <name val="Arial"/>
      <family val="2"/>
    </font>
    <font>
      <sz val="14"/>
      <name val="Arial"/>
      <family val="2"/>
    </font>
    <font>
      <b/>
      <sz val="14"/>
      <name val="Arial"/>
      <family val="2"/>
    </font>
    <font>
      <b/>
      <sz val="12"/>
      <color indexed="9"/>
      <name val="Arial"/>
      <family val="2"/>
    </font>
    <font>
      <b/>
      <sz val="11"/>
      <color theme="0"/>
      <name val="Arial"/>
      <family val="2"/>
    </font>
    <font>
      <b/>
      <i/>
      <sz val="16"/>
      <color theme="9" tint="-0.249977111117893"/>
      <name val="Arial"/>
      <family val="2"/>
    </font>
    <font>
      <b/>
      <sz val="11"/>
      <color theme="9" tint="-0.249977111117893"/>
      <name val="Arial"/>
      <family val="2"/>
    </font>
    <font>
      <b/>
      <i/>
      <sz val="9"/>
      <color theme="9" tint="-0.249977111117893"/>
      <name val="Arial"/>
      <family val="2"/>
    </font>
    <font>
      <b/>
      <sz val="10"/>
      <color theme="1"/>
      <name val="Arial"/>
      <family val="2"/>
    </font>
    <font>
      <b/>
      <sz val="11"/>
      <color rgb="FF0070C0"/>
      <name val="Arial"/>
      <family val="2"/>
    </font>
    <font>
      <b/>
      <sz val="11"/>
      <color theme="0"/>
      <name val="Arial"/>
    </font>
    <font>
      <b/>
      <sz val="11"/>
      <color rgb="FF0070C0"/>
      <name val="Arial"/>
    </font>
  </fonts>
  <fills count="1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rgb="FFFFFF00"/>
        <bgColor indexed="64"/>
      </patternFill>
    </fill>
  </fills>
  <borders count="7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tted">
        <color theme="0" tint="-0.14996795556505021"/>
      </left>
      <right style="dotted">
        <color theme="0" tint="-0.14996795556505021"/>
      </right>
      <top style="thin">
        <color indexed="64"/>
      </top>
      <bottom style="thin">
        <color indexed="64"/>
      </bottom>
      <diagonal/>
    </border>
    <border>
      <left style="dotted">
        <color theme="0" tint="-0.14996795556505021"/>
      </left>
      <right style="thin">
        <color indexed="64"/>
      </right>
      <top style="thin">
        <color indexed="64"/>
      </top>
      <bottom style="thin">
        <color indexed="64"/>
      </bottom>
      <diagonal/>
    </border>
    <border>
      <left/>
      <right style="dotted">
        <color theme="0" tint="-0.14996795556505021"/>
      </right>
      <top style="thin">
        <color indexed="64"/>
      </top>
      <bottom style="thin">
        <color indexed="64"/>
      </bottom>
      <diagonal/>
    </border>
    <border>
      <left style="medium">
        <color indexed="64"/>
      </left>
      <right style="dotted">
        <color theme="0" tint="-0.14996795556505021"/>
      </right>
      <top style="thin">
        <color indexed="64"/>
      </top>
      <bottom style="thin">
        <color indexed="64"/>
      </bottom>
      <diagonal/>
    </border>
    <border>
      <left style="dotted">
        <color theme="0" tint="-0.14996795556505021"/>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top/>
      <bottom style="medium">
        <color theme="0" tint="-0.499984740745262"/>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9" fontId="9" fillId="0" borderId="0" applyFont="0" applyFill="0" applyBorder="0" applyAlignment="0" applyProtection="0"/>
    <xf numFmtId="0" fontId="3" fillId="0" borderId="0"/>
    <xf numFmtId="43" fontId="9" fillId="0" borderId="0" applyFont="0" applyFill="0" applyBorder="0" applyAlignment="0" applyProtection="0"/>
  </cellStyleXfs>
  <cellXfs count="346">
    <xf numFmtId="0" fontId="0" fillId="0" borderId="0" xfId="0"/>
    <xf numFmtId="0" fontId="1" fillId="0" borderId="0" xfId="0" applyFont="1"/>
    <xf numFmtId="0" fontId="2" fillId="0" borderId="0" xfId="0" applyFont="1" applyAlignment="1">
      <alignment horizontal="center"/>
    </xf>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6" fillId="0" borderId="0" xfId="0" applyFont="1" applyAlignment="1">
      <alignment horizontal="center"/>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center"/>
    </xf>
    <xf numFmtId="0" fontId="2"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0" fontId="8" fillId="0" borderId="0" xfId="0" applyFont="1"/>
    <xf numFmtId="9" fontId="10" fillId="0" borderId="0" xfId="1" applyFont="1" applyFill="1"/>
    <xf numFmtId="0" fontId="10" fillId="0" borderId="0" xfId="0" applyFont="1"/>
    <xf numFmtId="0" fontId="5" fillId="0" borderId="0" xfId="0" applyFont="1"/>
    <xf numFmtId="0" fontId="2" fillId="5" borderId="15" xfId="0" applyFont="1" applyFill="1" applyBorder="1" applyAlignment="1">
      <alignment vertical="center" textRotation="90"/>
    </xf>
    <xf numFmtId="0" fontId="2" fillId="5" borderId="17" xfId="0" applyFont="1" applyFill="1" applyBorder="1" applyAlignment="1">
      <alignment horizontal="center" vertical="center"/>
    </xf>
    <xf numFmtId="0" fontId="2" fillId="5" borderId="17" xfId="0" applyFont="1" applyFill="1" applyBorder="1" applyAlignment="1">
      <alignment vertical="center" wrapText="1"/>
    </xf>
    <xf numFmtId="0" fontId="2" fillId="5" borderId="17" xfId="0" applyFont="1" applyFill="1" applyBorder="1" applyAlignment="1">
      <alignment horizontal="center" vertical="center" wrapText="1"/>
    </xf>
    <xf numFmtId="0" fontId="1" fillId="0" borderId="0" xfId="0" applyFont="1" applyAlignment="1">
      <alignment wrapText="1"/>
    </xf>
    <xf numFmtId="0" fontId="16" fillId="0" borderId="0" xfId="2" applyFont="1"/>
    <xf numFmtId="0" fontId="17" fillId="0" borderId="0" xfId="2" applyFont="1"/>
    <xf numFmtId="0" fontId="18" fillId="0" borderId="0" xfId="2" applyFont="1"/>
    <xf numFmtId="0" fontId="18" fillId="0" borderId="0" xfId="2" applyFont="1" applyAlignment="1">
      <alignment horizontal="center"/>
    </xf>
    <xf numFmtId="0" fontId="17" fillId="0" borderId="0" xfId="2" applyFont="1" applyAlignment="1">
      <alignment horizontal="center"/>
    </xf>
    <xf numFmtId="20" fontId="18" fillId="0" borderId="0" xfId="2" applyNumberFormat="1" applyFont="1" applyAlignment="1">
      <alignment horizontal="center"/>
    </xf>
    <xf numFmtId="1" fontId="19" fillId="0" borderId="0" xfId="2" applyNumberFormat="1" applyFont="1" applyAlignment="1">
      <alignment horizontal="center"/>
    </xf>
    <xf numFmtId="0" fontId="13" fillId="0" borderId="0" xfId="2" applyFont="1"/>
    <xf numFmtId="0" fontId="20" fillId="0" borderId="0" xfId="2" applyFont="1" applyAlignment="1">
      <alignment horizontal="center"/>
    </xf>
    <xf numFmtId="0" fontId="21" fillId="0" borderId="0" xfId="2" applyFont="1" applyAlignment="1">
      <alignment horizontal="center"/>
    </xf>
    <xf numFmtId="1" fontId="21" fillId="0" borderId="0" xfId="2" applyNumberFormat="1" applyFont="1" applyAlignment="1">
      <alignment horizontal="center"/>
    </xf>
    <xf numFmtId="0" fontId="21" fillId="0" borderId="0" xfId="2" applyFont="1"/>
    <xf numFmtId="0" fontId="22" fillId="0" borderId="0" xfId="0" applyFont="1"/>
    <xf numFmtId="0" fontId="5" fillId="0" borderId="0" xfId="0" applyFont="1" applyAlignment="1">
      <alignment horizontal="center"/>
    </xf>
    <xf numFmtId="0" fontId="24" fillId="9" borderId="20" xfId="0" applyFont="1" applyFill="1" applyBorder="1" applyAlignment="1">
      <alignment horizontal="center" vertical="center"/>
    </xf>
    <xf numFmtId="0" fontId="24" fillId="9" borderId="23" xfId="0" applyFont="1" applyFill="1" applyBorder="1" applyAlignment="1">
      <alignment horizontal="center" vertical="center"/>
    </xf>
    <xf numFmtId="0" fontId="24" fillId="9" borderId="29" xfId="0" applyFont="1" applyFill="1" applyBorder="1" applyAlignment="1">
      <alignment horizontal="center" vertical="center" wrapText="1"/>
    </xf>
    <xf numFmtId="0" fontId="24" fillId="9" borderId="24" xfId="0" applyFont="1" applyFill="1" applyBorder="1" applyAlignment="1">
      <alignment horizontal="center" vertical="center" wrapText="1"/>
    </xf>
    <xf numFmtId="0" fontId="24" fillId="9" borderId="24" xfId="0" applyFont="1" applyFill="1" applyBorder="1" applyAlignment="1">
      <alignment horizontal="center" vertical="center"/>
    </xf>
    <xf numFmtId="0" fontId="24" fillId="9" borderId="20" xfId="0" applyFont="1" applyFill="1" applyBorder="1" applyAlignment="1">
      <alignment vertical="center"/>
    </xf>
    <xf numFmtId="0" fontId="26" fillId="9" borderId="31" xfId="0" applyFont="1" applyFill="1" applyBorder="1" applyAlignment="1">
      <alignment vertical="center" wrapText="1"/>
    </xf>
    <xf numFmtId="0" fontId="26" fillId="9" borderId="32" xfId="0" applyFont="1" applyFill="1" applyBorder="1" applyAlignment="1">
      <alignment vertical="center" wrapText="1"/>
    </xf>
    <xf numFmtId="0" fontId="26" fillId="9" borderId="32" xfId="0" applyFont="1" applyFill="1" applyBorder="1" applyAlignment="1">
      <alignment horizontal="center" vertical="center"/>
    </xf>
    <xf numFmtId="0" fontId="26" fillId="9" borderId="32" xfId="0" applyFont="1" applyFill="1" applyBorder="1" applyAlignment="1">
      <alignment horizontal="center" vertical="center" wrapText="1"/>
    </xf>
    <xf numFmtId="0" fontId="26" fillId="9" borderId="33" xfId="0" applyFont="1" applyFill="1" applyBorder="1" applyAlignment="1">
      <alignment horizontal="center" vertical="center"/>
    </xf>
    <xf numFmtId="9" fontId="3" fillId="10" borderId="0" xfId="1" applyFont="1" applyFill="1" applyBorder="1" applyProtection="1">
      <protection locked="0"/>
    </xf>
    <xf numFmtId="9" fontId="3" fillId="7" borderId="0" xfId="1" applyFont="1" applyFill="1" applyBorder="1" applyProtection="1">
      <protection locked="0"/>
    </xf>
    <xf numFmtId="0" fontId="3" fillId="11" borderId="34" xfId="0" applyFont="1" applyFill="1" applyBorder="1"/>
    <xf numFmtId="9" fontId="3" fillId="11" borderId="11" xfId="1" applyFont="1" applyFill="1" applyBorder="1" applyProtection="1">
      <protection locked="0"/>
    </xf>
    <xf numFmtId="0" fontId="11" fillId="11" borderId="35" xfId="0" applyFont="1" applyFill="1" applyBorder="1" applyAlignment="1">
      <alignment horizontal="center"/>
    </xf>
    <xf numFmtId="0" fontId="3" fillId="10" borderId="36" xfId="0" applyFont="1" applyFill="1" applyBorder="1"/>
    <xf numFmtId="0" fontId="12" fillId="10" borderId="37" xfId="0" applyFont="1" applyFill="1" applyBorder="1" applyAlignment="1">
      <alignment horizontal="center"/>
    </xf>
    <xf numFmtId="0" fontId="3" fillId="7" borderId="36" xfId="0" applyFont="1" applyFill="1" applyBorder="1"/>
    <xf numFmtId="0" fontId="12" fillId="7" borderId="37" xfId="0" applyFont="1" applyFill="1" applyBorder="1" applyAlignment="1">
      <alignment horizontal="center"/>
    </xf>
    <xf numFmtId="0" fontId="3" fillId="0" borderId="5" xfId="0" applyFont="1" applyBorder="1"/>
    <xf numFmtId="0" fontId="3" fillId="0" borderId="14" xfId="0" applyFont="1" applyBorder="1" applyAlignment="1" applyProtection="1">
      <alignment horizontal="right"/>
      <protection locked="0"/>
    </xf>
    <xf numFmtId="0" fontId="12" fillId="0" borderId="26" xfId="0" applyFont="1" applyBorder="1" applyAlignment="1">
      <alignment horizontal="center"/>
    </xf>
    <xf numFmtId="0" fontId="28" fillId="0" borderId="0" xfId="0" applyFont="1" applyAlignment="1">
      <alignment horizontal="center"/>
    </xf>
    <xf numFmtId="0" fontId="29" fillId="0" borderId="0" xfId="0" applyFont="1" applyAlignment="1">
      <alignment horizontal="center"/>
    </xf>
    <xf numFmtId="0" fontId="8" fillId="0" borderId="0" xfId="0" quotePrefix="1" applyFont="1"/>
    <xf numFmtId="0" fontId="30" fillId="0" borderId="0" xfId="0" applyFont="1"/>
    <xf numFmtId="0" fontId="22" fillId="10" borderId="0" xfId="0" applyFont="1" applyFill="1" applyAlignment="1">
      <alignment horizontal="center" vertical="center"/>
    </xf>
    <xf numFmtId="0" fontId="22" fillId="10" borderId="38" xfId="0" applyFont="1" applyFill="1" applyBorder="1" applyAlignment="1">
      <alignment horizontal="center" vertical="center"/>
    </xf>
    <xf numFmtId="0" fontId="31" fillId="0" borderId="0" xfId="0" applyFont="1"/>
    <xf numFmtId="2" fontId="6" fillId="0" borderId="0" xfId="0" applyNumberFormat="1" applyFont="1" applyAlignment="1">
      <alignment horizontal="center"/>
    </xf>
    <xf numFmtId="2" fontId="4" fillId="0" borderId="0" xfId="0" applyNumberFormat="1" applyFont="1"/>
    <xf numFmtId="164" fontId="4" fillId="0" borderId="0" xfId="0" applyNumberFormat="1" applyFont="1" applyAlignment="1">
      <alignment wrapText="1"/>
    </xf>
    <xf numFmtId="0" fontId="23" fillId="3" borderId="0" xfId="0" applyFont="1" applyFill="1"/>
    <xf numFmtId="49" fontId="22" fillId="10" borderId="37" xfId="0" applyNumberFormat="1" applyFont="1" applyFill="1" applyBorder="1" applyAlignment="1">
      <alignment horizontal="center" vertical="center"/>
    </xf>
    <xf numFmtId="0" fontId="22" fillId="10" borderId="36" xfId="0" applyFont="1" applyFill="1" applyBorder="1" applyAlignment="1">
      <alignment horizontal="center" vertical="center"/>
    </xf>
    <xf numFmtId="0" fontId="2" fillId="10" borderId="38" xfId="0" applyFont="1" applyFill="1" applyBorder="1" applyAlignment="1">
      <alignment horizontal="center" vertical="center" wrapText="1"/>
    </xf>
    <xf numFmtId="0" fontId="26" fillId="9" borderId="33" xfId="0" applyFont="1" applyFill="1" applyBorder="1" applyAlignment="1">
      <alignment vertical="center" wrapText="1"/>
    </xf>
    <xf numFmtId="0" fontId="22" fillId="10" borderId="12" xfId="0" applyFont="1" applyFill="1" applyBorder="1" applyAlignment="1">
      <alignment horizontal="center" vertical="center"/>
    </xf>
    <xf numFmtId="49" fontId="22" fillId="10" borderId="13" xfId="0" applyNumberFormat="1" applyFont="1" applyFill="1" applyBorder="1" applyAlignment="1">
      <alignment horizontal="center" vertical="center"/>
    </xf>
    <xf numFmtId="0" fontId="33" fillId="0" borderId="0" xfId="0" applyFont="1"/>
    <xf numFmtId="0" fontId="33" fillId="0" borderId="0" xfId="0" applyFont="1" applyAlignment="1">
      <alignment wrapText="1"/>
    </xf>
    <xf numFmtId="0" fontId="31" fillId="0" borderId="0" xfId="0" applyFont="1" applyAlignment="1">
      <alignment textRotation="90"/>
    </xf>
    <xf numFmtId="0" fontId="35" fillId="0" borderId="0" xfId="0" applyFont="1"/>
    <xf numFmtId="0" fontId="2" fillId="10" borderId="46" xfId="0" applyFont="1" applyFill="1" applyBorder="1" applyAlignment="1">
      <alignment horizontal="center" vertical="center" wrapText="1"/>
    </xf>
    <xf numFmtId="0" fontId="2" fillId="10" borderId="47" xfId="0" applyFont="1" applyFill="1" applyBorder="1" applyAlignment="1">
      <alignment horizontal="center" vertical="center" wrapText="1"/>
    </xf>
    <xf numFmtId="0" fontId="22" fillId="10" borderId="46" xfId="0" applyFont="1" applyFill="1" applyBorder="1" applyAlignment="1">
      <alignment horizontal="center" vertical="center"/>
    </xf>
    <xf numFmtId="0" fontId="22" fillId="10" borderId="47" xfId="0" applyFont="1" applyFill="1" applyBorder="1" applyAlignment="1">
      <alignment horizontal="center" vertical="center"/>
    </xf>
    <xf numFmtId="165" fontId="4" fillId="0" borderId="0" xfId="0" applyNumberFormat="1" applyFont="1"/>
    <xf numFmtId="0" fontId="2" fillId="10" borderId="50" xfId="0" applyFont="1" applyFill="1" applyBorder="1" applyAlignment="1">
      <alignment horizontal="center" vertical="center" wrapText="1"/>
    </xf>
    <xf numFmtId="0" fontId="22" fillId="10" borderId="7" xfId="0" applyFont="1" applyFill="1" applyBorder="1" applyAlignment="1">
      <alignment horizontal="center" vertical="center"/>
    </xf>
    <xf numFmtId="0" fontId="27" fillId="9" borderId="16" xfId="0" applyFont="1" applyFill="1" applyBorder="1" applyAlignment="1">
      <alignment horizontal="center"/>
    </xf>
    <xf numFmtId="0" fontId="2" fillId="10" borderId="25" xfId="0" applyFont="1" applyFill="1" applyBorder="1" applyAlignment="1">
      <alignment horizontal="center" vertical="center" wrapText="1"/>
    </xf>
    <xf numFmtId="0" fontId="22" fillId="10" borderId="27" xfId="0" applyFont="1" applyFill="1" applyBorder="1" applyAlignment="1">
      <alignment horizontal="center" vertical="center"/>
    </xf>
    <xf numFmtId="0" fontId="22" fillId="10" borderId="25" xfId="0" applyFont="1" applyFill="1" applyBorder="1" applyAlignment="1">
      <alignment horizontal="center" vertical="center"/>
    </xf>
    <xf numFmtId="0" fontId="4" fillId="3" borderId="49" xfId="0" applyFont="1" applyFill="1" applyBorder="1" applyAlignment="1">
      <alignment vertical="center" wrapText="1"/>
    </xf>
    <xf numFmtId="0" fontId="4" fillId="0" borderId="51" xfId="0" applyFont="1" applyBorder="1"/>
    <xf numFmtId="0" fontId="2" fillId="10" borderId="27" xfId="0" applyFont="1" applyFill="1" applyBorder="1" applyAlignment="1">
      <alignment horizontal="center" vertical="center" wrapText="1"/>
    </xf>
    <xf numFmtId="165" fontId="15" fillId="5" borderId="30" xfId="0" applyNumberFormat="1" applyFont="1" applyFill="1" applyBorder="1"/>
    <xf numFmtId="0" fontId="32" fillId="0" borderId="51" xfId="0" applyFont="1" applyBorder="1"/>
    <xf numFmtId="0" fontId="31" fillId="0" borderId="0" xfId="0" applyFont="1" applyAlignment="1">
      <alignment horizontal="right" vertical="top" wrapText="1"/>
    </xf>
    <xf numFmtId="0" fontId="34" fillId="0" borderId="0" xfId="0" applyFont="1" applyAlignment="1">
      <alignment textRotation="90"/>
    </xf>
    <xf numFmtId="0" fontId="34" fillId="0" borderId="0" xfId="0" applyFont="1" applyAlignment="1">
      <alignment horizontal="left" vertical="center" wrapText="1"/>
    </xf>
    <xf numFmtId="0" fontId="39" fillId="0" borderId="0" xfId="0" applyFont="1" applyAlignment="1">
      <alignment horizontal="left" vertical="top"/>
    </xf>
    <xf numFmtId="2" fontId="10" fillId="0" borderId="0" xfId="0" applyNumberFormat="1" applyFont="1" applyAlignment="1">
      <alignment horizontal="center"/>
    </xf>
    <xf numFmtId="0" fontId="2" fillId="14" borderId="15" xfId="0" applyFont="1" applyFill="1" applyBorder="1" applyAlignment="1">
      <alignment vertical="center" textRotation="90"/>
    </xf>
    <xf numFmtId="0" fontId="14" fillId="14" borderId="17" xfId="0" applyFont="1" applyFill="1" applyBorder="1" applyAlignment="1">
      <alignment vertical="center" textRotation="90"/>
    </xf>
    <xf numFmtId="0" fontId="2" fillId="14" borderId="17" xfId="0" applyFont="1" applyFill="1" applyBorder="1" applyAlignment="1">
      <alignment vertical="center" wrapText="1"/>
    </xf>
    <xf numFmtId="0" fontId="2" fillId="14" borderId="17" xfId="0" applyFont="1" applyFill="1" applyBorder="1" applyAlignment="1">
      <alignment horizontal="center" vertical="center"/>
    </xf>
    <xf numFmtId="0" fontId="2" fillId="14" borderId="17" xfId="0" applyFont="1" applyFill="1" applyBorder="1" applyAlignment="1">
      <alignment horizontal="center" vertical="center" wrapText="1"/>
    </xf>
    <xf numFmtId="2" fontId="2" fillId="14" borderId="17" xfId="0" applyNumberFormat="1" applyFont="1" applyFill="1" applyBorder="1" applyAlignment="1">
      <alignment horizontal="center" vertical="center" wrapText="1"/>
    </xf>
    <xf numFmtId="2" fontId="2" fillId="14" borderId="21" xfId="0" applyNumberFormat="1" applyFont="1" applyFill="1" applyBorder="1" applyAlignment="1">
      <alignment horizontal="center" vertical="center" wrapText="1"/>
    </xf>
    <xf numFmtId="0" fontId="2" fillId="15" borderId="15" xfId="0" applyFont="1" applyFill="1" applyBorder="1" applyAlignment="1">
      <alignment vertical="center" textRotation="90"/>
    </xf>
    <xf numFmtId="0" fontId="14" fillId="15" borderId="17" xfId="0" applyFont="1" applyFill="1" applyBorder="1" applyAlignment="1">
      <alignment vertical="center" textRotation="90"/>
    </xf>
    <xf numFmtId="0" fontId="2" fillId="15" borderId="17" xfId="0" applyFont="1" applyFill="1" applyBorder="1" applyAlignment="1">
      <alignment vertical="center" wrapText="1"/>
    </xf>
    <xf numFmtId="0" fontId="2" fillId="15" borderId="17" xfId="0" applyFont="1" applyFill="1" applyBorder="1" applyAlignment="1">
      <alignment horizontal="center" vertical="center"/>
    </xf>
    <xf numFmtId="0" fontId="2" fillId="15" borderId="17" xfId="0" applyFont="1" applyFill="1" applyBorder="1" applyAlignment="1">
      <alignment horizontal="center" vertical="center" wrapText="1"/>
    </xf>
    <xf numFmtId="165" fontId="12" fillId="3" borderId="27" xfId="0" applyNumberFormat="1" applyFont="1" applyFill="1" applyBorder="1" applyAlignment="1">
      <alignment horizontal="right" vertical="center" wrapText="1"/>
    </xf>
    <xf numFmtId="165" fontId="12" fillId="3" borderId="25" xfId="0" applyNumberFormat="1" applyFont="1" applyFill="1" applyBorder="1" applyAlignment="1">
      <alignment horizontal="right" vertical="center" wrapText="1"/>
    </xf>
    <xf numFmtId="0" fontId="36" fillId="3" borderId="0" xfId="0" applyFont="1" applyFill="1" applyAlignment="1">
      <alignment horizontal="center" vertical="center"/>
    </xf>
    <xf numFmtId="0" fontId="4" fillId="13" borderId="48" xfId="0" applyFont="1" applyFill="1" applyBorder="1" applyAlignment="1">
      <alignment horizontal="center" vertical="center" wrapText="1"/>
    </xf>
    <xf numFmtId="0" fontId="14" fillId="7" borderId="1" xfId="0" applyFont="1" applyFill="1" applyBorder="1" applyAlignment="1">
      <alignment vertical="center" textRotation="90"/>
    </xf>
    <xf numFmtId="0" fontId="2" fillId="7" borderId="1" xfId="0" applyFont="1" applyFill="1" applyBorder="1" applyAlignment="1">
      <alignment vertical="center" wrapText="1"/>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0" borderId="2" xfId="0" applyFont="1" applyBorder="1" applyAlignment="1">
      <alignment horizontal="center" wrapText="1"/>
    </xf>
    <xf numFmtId="2" fontId="32" fillId="8" borderId="3" xfId="0" applyNumberFormat="1" applyFont="1" applyFill="1" applyBorder="1" applyAlignment="1">
      <alignment wrapText="1"/>
    </xf>
    <xf numFmtId="0" fontId="40" fillId="0" borderId="0" xfId="0" applyFont="1" applyAlignment="1">
      <alignment horizontal="center"/>
    </xf>
    <xf numFmtId="0" fontId="41" fillId="0" borderId="0" xfId="0" applyFont="1"/>
    <xf numFmtId="0" fontId="42" fillId="0" borderId="0" xfId="0" applyFont="1"/>
    <xf numFmtId="0" fontId="43" fillId="0" borderId="0" xfId="0" applyFont="1" applyAlignment="1">
      <alignment horizontal="center"/>
    </xf>
    <xf numFmtId="0" fontId="44" fillId="0" borderId="0" xfId="0" applyFont="1"/>
    <xf numFmtId="0" fontId="45" fillId="10" borderId="28" xfId="0" applyFont="1" applyFill="1" applyBorder="1" applyAlignment="1">
      <alignment horizontal="center" vertical="center" wrapText="1"/>
    </xf>
    <xf numFmtId="0" fontId="46" fillId="10" borderId="28" xfId="0" applyFont="1" applyFill="1" applyBorder="1" applyAlignment="1">
      <alignment horizontal="center" vertical="center"/>
    </xf>
    <xf numFmtId="165" fontId="47" fillId="3" borderId="28" xfId="0" applyNumberFormat="1" applyFont="1" applyFill="1" applyBorder="1" applyAlignment="1">
      <alignment horizontal="right" vertical="center" wrapText="1"/>
    </xf>
    <xf numFmtId="0" fontId="48" fillId="0" borderId="0" xfId="0" applyFont="1"/>
    <xf numFmtId="0" fontId="49" fillId="9" borderId="1" xfId="0" applyFont="1" applyFill="1" applyBorder="1" applyAlignment="1">
      <alignment horizontal="center" vertical="center" wrapText="1"/>
    </xf>
    <xf numFmtId="0" fontId="46" fillId="10" borderId="22" xfId="0" applyFont="1" applyFill="1" applyBorder="1" applyAlignment="1">
      <alignment horizontal="center" vertical="center"/>
    </xf>
    <xf numFmtId="165" fontId="47" fillId="3" borderId="22" xfId="0" applyNumberFormat="1" applyFont="1" applyFill="1" applyBorder="1" applyAlignment="1">
      <alignment horizontal="right" vertical="center" wrapText="1"/>
    </xf>
    <xf numFmtId="0" fontId="45" fillId="10" borderId="25" xfId="0" applyFont="1" applyFill="1" applyBorder="1" applyAlignment="1">
      <alignment horizontal="center" vertical="center" wrapText="1"/>
    </xf>
    <xf numFmtId="0" fontId="46" fillId="10" borderId="25" xfId="0" applyFont="1" applyFill="1" applyBorder="1" applyAlignment="1">
      <alignment horizontal="center" vertical="center"/>
    </xf>
    <xf numFmtId="165" fontId="47" fillId="3" borderId="25" xfId="0" applyNumberFormat="1" applyFont="1" applyFill="1" applyBorder="1" applyAlignment="1">
      <alignment horizontal="right" vertical="center" wrapText="1"/>
    </xf>
    <xf numFmtId="0" fontId="50" fillId="0" borderId="0" xfId="0" applyFont="1" applyAlignment="1">
      <alignment horizontal="center"/>
    </xf>
    <xf numFmtId="2" fontId="51" fillId="0" borderId="0" xfId="0" applyNumberFormat="1" applyFont="1" applyAlignment="1">
      <alignment horizontal="center"/>
    </xf>
    <xf numFmtId="0" fontId="51" fillId="0" borderId="0" xfId="0" applyFont="1"/>
    <xf numFmtId="0" fontId="51" fillId="0" borderId="0" xfId="0" applyFont="1" applyAlignment="1">
      <alignment wrapText="1"/>
    </xf>
    <xf numFmtId="0" fontId="52" fillId="16" borderId="53" xfId="0" applyFont="1" applyFill="1" applyBorder="1" applyAlignment="1">
      <alignment horizontal="center" vertical="center" wrapText="1"/>
    </xf>
    <xf numFmtId="0" fontId="52" fillId="16" borderId="54" xfId="0" applyFont="1" applyFill="1" applyBorder="1" applyAlignment="1">
      <alignment horizontal="center" vertical="center" wrapText="1"/>
    </xf>
    <xf numFmtId="0" fontId="52" fillId="16" borderId="55" xfId="0" applyFont="1" applyFill="1" applyBorder="1" applyAlignment="1">
      <alignment horizontal="center" vertical="center" wrapText="1"/>
    </xf>
    <xf numFmtId="0" fontId="6" fillId="0" borderId="0" xfId="0" applyFont="1" applyAlignment="1">
      <alignment horizontal="left"/>
    </xf>
    <xf numFmtId="0" fontId="4" fillId="0" borderId="0" xfId="0" applyFont="1" applyAlignment="1">
      <alignment horizontal="left"/>
    </xf>
    <xf numFmtId="0" fontId="4" fillId="0" borderId="0" xfId="0" applyFont="1" applyAlignment="1">
      <alignment horizontal="left" wrapText="1"/>
    </xf>
    <xf numFmtId="0" fontId="34" fillId="0" borderId="0" xfId="0" applyFont="1" applyAlignment="1">
      <alignment horizontal="left"/>
    </xf>
    <xf numFmtId="0" fontId="55" fillId="0" borderId="8" xfId="0" applyFont="1" applyBorder="1"/>
    <xf numFmtId="0" fontId="55" fillId="0" borderId="9" xfId="0" applyFont="1" applyBorder="1" applyAlignment="1">
      <alignment horizontal="right"/>
    </xf>
    <xf numFmtId="0" fontId="54" fillId="0" borderId="60" xfId="0" applyFont="1" applyBorder="1"/>
    <xf numFmtId="0" fontId="55" fillId="0" borderId="61" xfId="0" applyFont="1" applyBorder="1" applyAlignment="1">
      <alignment horizontal="right"/>
    </xf>
    <xf numFmtId="0" fontId="54" fillId="0" borderId="63" xfId="0" applyFont="1" applyBorder="1"/>
    <xf numFmtId="0" fontId="55" fillId="0" borderId="64" xfId="0" applyFont="1" applyBorder="1" applyAlignment="1">
      <alignment horizontal="right"/>
    </xf>
    <xf numFmtId="0" fontId="55" fillId="10" borderId="2" xfId="0" applyFont="1" applyFill="1" applyBorder="1"/>
    <xf numFmtId="0" fontId="4" fillId="10" borderId="6" xfId="0" applyFont="1" applyFill="1" applyBorder="1"/>
    <xf numFmtId="0" fontId="2" fillId="10" borderId="6" xfId="0" applyFont="1" applyFill="1" applyBorder="1" applyAlignment="1">
      <alignment horizontal="right"/>
    </xf>
    <xf numFmtId="0" fontId="55" fillId="0" borderId="66" xfId="0" applyFont="1" applyBorder="1"/>
    <xf numFmtId="0" fontId="55" fillId="0" borderId="67" xfId="0" applyFont="1" applyBorder="1" applyAlignment="1">
      <alignment horizontal="right"/>
    </xf>
    <xf numFmtId="0" fontId="25" fillId="9" borderId="69" xfId="0" applyFont="1" applyFill="1" applyBorder="1" applyAlignment="1">
      <alignment horizontal="center" vertical="center"/>
    </xf>
    <xf numFmtId="0" fontId="25" fillId="9" borderId="70" xfId="0" applyFont="1" applyFill="1" applyBorder="1" applyAlignment="1">
      <alignment horizontal="center" vertical="center"/>
    </xf>
    <xf numFmtId="0" fontId="25" fillId="9" borderId="70" xfId="0" quotePrefix="1" applyFont="1" applyFill="1" applyBorder="1" applyAlignment="1">
      <alignment horizontal="center" vertical="center"/>
    </xf>
    <xf numFmtId="0" fontId="57" fillId="0" borderId="0" xfId="2" applyFont="1"/>
    <xf numFmtId="0" fontId="25" fillId="9" borderId="0" xfId="2" applyFont="1" applyFill="1" applyAlignment="1">
      <alignment horizontal="center" vertical="center"/>
    </xf>
    <xf numFmtId="0" fontId="25" fillId="9" borderId="25" xfId="2" applyFont="1" applyFill="1" applyBorder="1" applyAlignment="1">
      <alignment horizontal="center" vertical="center"/>
    </xf>
    <xf numFmtId="0" fontId="18" fillId="0" borderId="0" xfId="2" applyFont="1" applyAlignment="1">
      <alignment horizontal="center" vertical="center"/>
    </xf>
    <xf numFmtId="0" fontId="25" fillId="9" borderId="71" xfId="2" applyFont="1" applyFill="1" applyBorder="1" applyAlignment="1">
      <alignment horizontal="center" vertical="center"/>
    </xf>
    <xf numFmtId="20" fontId="56" fillId="0" borderId="30" xfId="2" applyNumberFormat="1" applyFont="1" applyBorder="1" applyAlignment="1">
      <alignment horizontal="center" vertical="center"/>
    </xf>
    <xf numFmtId="0" fontId="7" fillId="8" borderId="51" xfId="2" applyFont="1" applyFill="1" applyBorder="1"/>
    <xf numFmtId="20" fontId="17" fillId="8" borderId="30" xfId="2" applyNumberFormat="1" applyFont="1" applyFill="1" applyBorder="1"/>
    <xf numFmtId="0" fontId="24" fillId="9" borderId="71" xfId="2" applyFont="1" applyFill="1" applyBorder="1" applyAlignment="1">
      <alignment horizontal="center" vertical="center"/>
    </xf>
    <xf numFmtId="20" fontId="55" fillId="0" borderId="30" xfId="2" applyNumberFormat="1" applyFont="1" applyBorder="1" applyAlignment="1">
      <alignment horizontal="center" vertical="center"/>
    </xf>
    <xf numFmtId="20" fontId="7" fillId="0" borderId="0" xfId="2" applyNumberFormat="1" applyFont="1" applyAlignment="1">
      <alignment horizontal="center"/>
    </xf>
    <xf numFmtId="0" fontId="55" fillId="0" borderId="0" xfId="2" applyFont="1"/>
    <xf numFmtId="1" fontId="58" fillId="0" borderId="0" xfId="2" applyNumberFormat="1" applyFont="1" applyAlignment="1">
      <alignment horizontal="center"/>
    </xf>
    <xf numFmtId="0" fontId="7" fillId="0" borderId="0" xfId="2" applyFont="1" applyAlignment="1">
      <alignment horizontal="center"/>
    </xf>
    <xf numFmtId="0" fontId="55" fillId="0" borderId="0" xfId="2" applyFont="1" applyAlignment="1">
      <alignment horizontal="center"/>
    </xf>
    <xf numFmtId="0" fontId="22" fillId="3" borderId="52" xfId="0" applyFont="1" applyFill="1" applyBorder="1" applyAlignment="1">
      <alignment vertical="center" wrapText="1"/>
    </xf>
    <xf numFmtId="0" fontId="4" fillId="3" borderId="25" xfId="0" applyFont="1" applyFill="1" applyBorder="1" applyAlignment="1">
      <alignment vertical="center" wrapText="1"/>
    </xf>
    <xf numFmtId="0" fontId="4" fillId="10" borderId="28" xfId="0" applyFont="1" applyFill="1" applyBorder="1" applyAlignment="1">
      <alignment horizontal="center" vertical="center" wrapText="1"/>
    </xf>
    <xf numFmtId="0" fontId="4" fillId="0" borderId="0" xfId="0" applyFont="1" applyAlignment="1">
      <alignment vertical="center"/>
    </xf>
    <xf numFmtId="0" fontId="12" fillId="12" borderId="27" xfId="0" applyFont="1" applyFill="1" applyBorder="1" applyAlignment="1">
      <alignment horizontal="right" vertical="center"/>
    </xf>
    <xf numFmtId="0" fontId="12" fillId="12" borderId="25" xfId="0" applyFont="1" applyFill="1" applyBorder="1" applyAlignment="1">
      <alignment horizontal="right" vertical="center"/>
    </xf>
    <xf numFmtId="0" fontId="12" fillId="12" borderId="28" xfId="0" applyFont="1" applyFill="1" applyBorder="1" applyAlignment="1">
      <alignment horizontal="right" vertical="center"/>
    </xf>
    <xf numFmtId="0" fontId="12" fillId="12" borderId="22" xfId="0" applyFont="1" applyFill="1" applyBorder="1" applyAlignment="1">
      <alignment horizontal="right" vertical="center"/>
    </xf>
    <xf numFmtId="0" fontId="2" fillId="3" borderId="27"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1" fillId="3" borderId="25" xfId="0" applyFont="1" applyFill="1" applyBorder="1" applyAlignment="1">
      <alignment vertical="center" wrapText="1"/>
    </xf>
    <xf numFmtId="0" fontId="5" fillId="0" borderId="0" xfId="0" applyFont="1" applyAlignment="1">
      <alignment horizontal="center" vertical="center"/>
    </xf>
    <xf numFmtId="2" fontId="51" fillId="16" borderId="56" xfId="0" applyNumberFormat="1" applyFont="1" applyFill="1" applyBorder="1" applyAlignment="1">
      <alignment vertical="center" wrapText="1"/>
    </xf>
    <xf numFmtId="2" fontId="51" fillId="16" borderId="57" xfId="0" applyNumberFormat="1" applyFont="1" applyFill="1" applyBorder="1" applyAlignment="1">
      <alignment vertical="center" wrapText="1"/>
    </xf>
    <xf numFmtId="2" fontId="51" fillId="16" borderId="58" xfId="0" applyNumberFormat="1" applyFont="1" applyFill="1" applyBorder="1" applyAlignment="1">
      <alignment vertical="center" wrapText="1"/>
    </xf>
    <xf numFmtId="0" fontId="4" fillId="0" borderId="0" xfId="0" applyFont="1" applyAlignment="1">
      <alignment vertical="center" wrapText="1"/>
    </xf>
    <xf numFmtId="164" fontId="31" fillId="0" borderId="0" xfId="0" applyNumberFormat="1" applyFont="1" applyAlignment="1">
      <alignment horizontal="left" vertical="center"/>
    </xf>
    <xf numFmtId="0" fontId="15" fillId="3" borderId="25" xfId="0" applyFont="1" applyFill="1" applyBorder="1" applyAlignment="1">
      <alignment vertical="center" wrapText="1"/>
    </xf>
    <xf numFmtId="0" fontId="15" fillId="4" borderId="25" xfId="0" applyFont="1" applyFill="1" applyBorder="1" applyAlignment="1">
      <alignment horizontal="center" vertical="center" wrapText="1"/>
    </xf>
    <xf numFmtId="2" fontId="4" fillId="3" borderId="25" xfId="0" applyNumberFormat="1" applyFont="1" applyFill="1" applyBorder="1" applyAlignment="1">
      <alignment vertical="center" wrapText="1"/>
    </xf>
    <xf numFmtId="2" fontId="4" fillId="3" borderId="28" xfId="0" applyNumberFormat="1" applyFont="1" applyFill="1" applyBorder="1" applyAlignment="1">
      <alignment vertical="center" wrapText="1"/>
    </xf>
    <xf numFmtId="2" fontId="4" fillId="3" borderId="28" xfId="0" applyNumberFormat="1" applyFont="1" applyFill="1" applyBorder="1" applyAlignment="1">
      <alignment horizontal="right" vertical="center" wrapText="1"/>
    </xf>
    <xf numFmtId="0" fontId="31" fillId="0" borderId="0" xfId="0" applyFont="1" applyAlignment="1">
      <alignment vertical="center" textRotation="90"/>
    </xf>
    <xf numFmtId="0" fontId="4" fillId="2" borderId="25" xfId="0" applyFont="1" applyFill="1" applyBorder="1" applyAlignment="1">
      <alignment horizontal="center" vertical="center" wrapText="1"/>
    </xf>
    <xf numFmtId="0" fontId="22" fillId="3" borderId="25" xfId="0" applyFont="1" applyFill="1" applyBorder="1" applyAlignment="1">
      <alignment vertical="center" wrapText="1"/>
    </xf>
    <xf numFmtId="165" fontId="12" fillId="2" borderId="25" xfId="0" applyNumberFormat="1" applyFont="1" applyFill="1" applyBorder="1" applyAlignment="1">
      <alignment horizontal="right" vertical="center" wrapText="1"/>
    </xf>
    <xf numFmtId="164" fontId="31" fillId="0" borderId="0" xfId="0" applyNumberFormat="1" applyFont="1" applyAlignme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3" borderId="0" xfId="0" applyFont="1" applyFill="1" applyAlignment="1">
      <alignment vertical="center"/>
    </xf>
    <xf numFmtId="0" fontId="12" fillId="3" borderId="0" xfId="0" applyFont="1" applyFill="1" applyAlignment="1">
      <alignment vertical="center"/>
    </xf>
    <xf numFmtId="0" fontId="4" fillId="3" borderId="0" xfId="0" applyFont="1" applyFill="1" applyAlignment="1">
      <alignment vertical="center" wrapText="1"/>
    </xf>
    <xf numFmtId="0" fontId="33" fillId="3" borderId="0" xfId="0" applyFont="1" applyFill="1" applyAlignment="1">
      <alignment vertical="center"/>
    </xf>
    <xf numFmtId="0" fontId="4" fillId="3" borderId="0" xfId="0" applyFont="1" applyFill="1" applyAlignment="1">
      <alignment horizontal="center" vertical="center"/>
    </xf>
    <xf numFmtId="0" fontId="12" fillId="3" borderId="0" xfId="0" applyFont="1" applyFill="1" applyAlignment="1">
      <alignment horizontal="center" vertical="center"/>
    </xf>
    <xf numFmtId="0" fontId="59" fillId="17" borderId="0" xfId="0" applyFont="1" applyFill="1" applyAlignment="1">
      <alignment vertical="center"/>
    </xf>
    <xf numFmtId="0" fontId="60" fillId="0" borderId="0" xfId="0" applyFont="1" applyAlignment="1">
      <alignment horizontal="center"/>
    </xf>
    <xf numFmtId="0" fontId="61" fillId="0" borderId="0" xfId="0" applyFont="1"/>
    <xf numFmtId="0" fontId="62" fillId="0" borderId="0" xfId="0" applyFont="1"/>
    <xf numFmtId="0" fontId="61" fillId="10" borderId="28" xfId="0" applyFont="1" applyFill="1" applyBorder="1" applyAlignment="1">
      <alignment horizontal="center" vertical="center" wrapText="1"/>
    </xf>
    <xf numFmtId="0" fontId="61" fillId="10" borderId="28" xfId="0" applyFont="1" applyFill="1" applyBorder="1" applyAlignment="1">
      <alignment horizontal="center" vertical="center"/>
    </xf>
    <xf numFmtId="165" fontId="61" fillId="3" borderId="28" xfId="0" applyNumberFormat="1" applyFont="1" applyFill="1" applyBorder="1" applyAlignment="1">
      <alignment horizontal="right" vertical="center" wrapText="1"/>
    </xf>
    <xf numFmtId="0" fontId="54" fillId="0" borderId="0" xfId="0" applyFont="1"/>
    <xf numFmtId="0" fontId="54" fillId="3" borderId="0" xfId="0" applyFont="1" applyFill="1" applyAlignment="1">
      <alignment vertical="center"/>
    </xf>
    <xf numFmtId="0" fontId="2" fillId="5" borderId="72" xfId="0" applyFont="1" applyFill="1" applyBorder="1" applyAlignment="1">
      <alignment horizontal="center" vertical="center" wrapText="1"/>
    </xf>
    <xf numFmtId="165" fontId="12" fillId="2" borderId="30" xfId="0" applyNumberFormat="1" applyFont="1" applyFill="1" applyBorder="1" applyAlignment="1">
      <alignment horizontal="right" vertical="center" wrapText="1"/>
    </xf>
    <xf numFmtId="0" fontId="5" fillId="0" borderId="0" xfId="0" applyFont="1" applyAlignment="1">
      <alignment horizontal="left"/>
    </xf>
    <xf numFmtId="167" fontId="4" fillId="0" borderId="0" xfId="0" applyNumberFormat="1" applyFont="1" applyAlignment="1">
      <alignment horizontal="left"/>
    </xf>
    <xf numFmtId="0" fontId="24" fillId="9" borderId="3" xfId="0" applyFont="1" applyFill="1" applyBorder="1" applyAlignment="1">
      <alignment vertical="center" wrapText="1"/>
    </xf>
    <xf numFmtId="0" fontId="2" fillId="5" borderId="17" xfId="0" applyFont="1" applyFill="1" applyBorder="1" applyAlignment="1">
      <alignment vertical="center" textRotation="90" wrapText="1"/>
    </xf>
    <xf numFmtId="0" fontId="12" fillId="2" borderId="25"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2" fillId="5" borderId="18" xfId="0" applyFont="1" applyFill="1" applyBorder="1" applyAlignment="1">
      <alignment horizontal="center" vertical="center" wrapText="1"/>
    </xf>
    <xf numFmtId="165" fontId="12" fillId="2" borderId="51" xfId="0" applyNumberFormat="1" applyFont="1" applyFill="1" applyBorder="1" applyAlignment="1">
      <alignment horizontal="right" vertical="center" wrapText="1"/>
    </xf>
    <xf numFmtId="0" fontId="2" fillId="5" borderId="10" xfId="0" applyFont="1" applyFill="1" applyBorder="1" applyAlignment="1">
      <alignment horizontal="center" vertical="center" wrapText="1"/>
    </xf>
    <xf numFmtId="2" fontId="4" fillId="0" borderId="73" xfId="0" applyNumberFormat="1" applyFont="1" applyBorder="1" applyAlignment="1">
      <alignment vertical="center" wrapText="1"/>
    </xf>
    <xf numFmtId="0" fontId="2" fillId="11" borderId="16" xfId="0" applyFont="1" applyFill="1" applyBorder="1" applyAlignment="1">
      <alignment horizontal="center" vertical="center" wrapText="1"/>
    </xf>
    <xf numFmtId="165" fontId="63" fillId="11" borderId="22" xfId="0" applyNumberFormat="1" applyFont="1" applyFill="1" applyBorder="1" applyAlignment="1">
      <alignment horizontal="right" vertical="center" wrapText="1"/>
    </xf>
    <xf numFmtId="165" fontId="63" fillId="11" borderId="74" xfId="0" applyNumberFormat="1" applyFont="1" applyFill="1" applyBorder="1" applyAlignment="1">
      <alignment horizontal="right" vertical="center" wrapText="1"/>
    </xf>
    <xf numFmtId="0" fontId="2" fillId="14" borderId="18" xfId="0" applyFont="1" applyFill="1" applyBorder="1" applyAlignment="1">
      <alignment horizontal="center" vertical="center"/>
    </xf>
    <xf numFmtId="2" fontId="2" fillId="14" borderId="72" xfId="0" applyNumberFormat="1" applyFont="1" applyFill="1" applyBorder="1" applyAlignment="1">
      <alignment horizontal="center" vertical="center" wrapText="1"/>
    </xf>
    <xf numFmtId="2" fontId="4" fillId="4" borderId="30" xfId="0" applyNumberFormat="1" applyFont="1" applyFill="1" applyBorder="1" applyAlignment="1">
      <alignment vertical="center" wrapText="1"/>
    </xf>
    <xf numFmtId="0" fontId="2" fillId="14" borderId="16" xfId="0" applyFont="1" applyFill="1" applyBorder="1" applyAlignment="1">
      <alignment horizontal="center" vertical="center" wrapText="1"/>
    </xf>
    <xf numFmtId="165" fontId="32" fillId="14" borderId="22" xfId="0" applyNumberFormat="1" applyFont="1" applyFill="1" applyBorder="1" applyAlignment="1">
      <alignment vertical="center" wrapText="1"/>
    </xf>
    <xf numFmtId="0" fontId="2" fillId="15" borderId="18" xfId="0" applyFont="1" applyFill="1" applyBorder="1" applyAlignment="1">
      <alignment horizontal="center" vertical="center"/>
    </xf>
    <xf numFmtId="0" fontId="2" fillId="15" borderId="16" xfId="0" applyFont="1" applyFill="1" applyBorder="1" applyAlignment="1">
      <alignment horizontal="center" vertical="center" wrapText="1"/>
    </xf>
    <xf numFmtId="0" fontId="54" fillId="0" borderId="25" xfId="0" applyFont="1" applyBorder="1" applyAlignment="1">
      <alignment horizontal="center" vertical="center"/>
    </xf>
    <xf numFmtId="0" fontId="4" fillId="0" borderId="25" xfId="0" applyFont="1" applyBorder="1" applyAlignment="1">
      <alignment vertical="center" wrapText="1"/>
    </xf>
    <xf numFmtId="0" fontId="1" fillId="0" borderId="25" xfId="0" applyFont="1" applyBorder="1" applyAlignment="1">
      <alignment vertical="center" wrapText="1"/>
    </xf>
    <xf numFmtId="0" fontId="3" fillId="0" borderId="25" xfId="0" applyFont="1" applyBorder="1" applyAlignment="1">
      <alignment vertical="center" wrapText="1"/>
    </xf>
    <xf numFmtId="1" fontId="32" fillId="0" borderId="42" xfId="0" applyNumberFormat="1" applyFont="1" applyBorder="1" applyAlignment="1">
      <alignment vertical="center" wrapText="1"/>
    </xf>
    <xf numFmtId="1" fontId="12" fillId="0" borderId="39" xfId="0" applyNumberFormat="1" applyFont="1" applyBorder="1" applyAlignment="1">
      <alignment vertical="center" wrapText="1"/>
    </xf>
    <xf numFmtId="1" fontId="12" fillId="0" borderId="40" xfId="0" applyNumberFormat="1" applyFont="1" applyBorder="1" applyAlignment="1">
      <alignment vertical="center" wrapText="1"/>
    </xf>
    <xf numFmtId="1" fontId="32" fillId="0" borderId="41" xfId="0" applyNumberFormat="1" applyFont="1" applyBorder="1" applyAlignment="1">
      <alignment vertical="center" wrapText="1"/>
    </xf>
    <xf numFmtId="1" fontId="12" fillId="0" borderId="43" xfId="0" applyNumberFormat="1" applyFont="1" applyBorder="1" applyAlignment="1">
      <alignment vertical="center" wrapText="1"/>
    </xf>
    <xf numFmtId="0" fontId="34" fillId="0" borderId="0" xfId="0" applyFont="1" applyAlignment="1">
      <alignment horizontal="right"/>
    </xf>
    <xf numFmtId="168" fontId="35" fillId="10" borderId="3" xfId="0" applyNumberFormat="1" applyFont="1" applyFill="1" applyBorder="1" applyAlignment="1">
      <alignment horizontal="right"/>
    </xf>
    <xf numFmtId="168" fontId="35" fillId="16" borderId="3" xfId="0" applyNumberFormat="1" applyFont="1" applyFill="1" applyBorder="1" applyAlignment="1">
      <alignment horizontal="right"/>
    </xf>
    <xf numFmtId="168" fontId="57" fillId="0" borderId="68" xfId="0" applyNumberFormat="1" applyFont="1" applyBorder="1" applyAlignment="1">
      <alignment horizontal="right"/>
    </xf>
    <xf numFmtId="168" fontId="57" fillId="16" borderId="68" xfId="0" applyNumberFormat="1" applyFont="1" applyFill="1" applyBorder="1" applyAlignment="1">
      <alignment horizontal="right"/>
    </xf>
    <xf numFmtId="168" fontId="57" fillId="0" borderId="62" xfId="0" applyNumberFormat="1" applyFont="1" applyBorder="1" applyAlignment="1">
      <alignment horizontal="right"/>
    </xf>
    <xf numFmtId="168" fontId="57" fillId="16" borderId="62" xfId="0" applyNumberFormat="1" applyFont="1" applyFill="1" applyBorder="1" applyAlignment="1">
      <alignment horizontal="right"/>
    </xf>
    <xf numFmtId="168" fontId="57" fillId="0" borderId="65" xfId="0" applyNumberFormat="1" applyFont="1" applyBorder="1" applyAlignment="1">
      <alignment horizontal="right"/>
    </xf>
    <xf numFmtId="168" fontId="57" fillId="16" borderId="76" xfId="0" applyNumberFormat="1" applyFont="1" applyFill="1" applyBorder="1" applyAlignment="1">
      <alignment horizontal="right"/>
    </xf>
    <xf numFmtId="168" fontId="57" fillId="0" borderId="10" xfId="0" applyNumberFormat="1" applyFont="1" applyBorder="1" applyAlignment="1">
      <alignment horizontal="right"/>
    </xf>
    <xf numFmtId="168" fontId="57" fillId="16" borderId="75" xfId="0" applyNumberFormat="1" applyFont="1" applyFill="1" applyBorder="1" applyAlignment="1">
      <alignment horizontal="right"/>
    </xf>
    <xf numFmtId="0" fontId="57" fillId="0" borderId="67" xfId="0" applyFont="1" applyBorder="1" applyAlignment="1">
      <alignment horizontal="left"/>
    </xf>
    <xf numFmtId="0" fontId="57" fillId="0" borderId="61" xfId="0" applyFont="1" applyBorder="1" applyAlignment="1">
      <alignment horizontal="left"/>
    </xf>
    <xf numFmtId="0" fontId="57" fillId="0" borderId="64" xfId="0" applyFont="1" applyBorder="1" applyAlignment="1">
      <alignment horizontal="left"/>
    </xf>
    <xf numFmtId="0" fontId="57" fillId="0" borderId="9" xfId="0" applyFont="1" applyBorder="1" applyAlignment="1">
      <alignment horizontal="left"/>
    </xf>
    <xf numFmtId="0" fontId="17" fillId="3" borderId="27" xfId="0" applyFont="1" applyFill="1" applyBorder="1" applyAlignment="1">
      <alignment horizontal="center" vertical="center" wrapText="1"/>
    </xf>
    <xf numFmtId="0" fontId="17" fillId="3" borderId="49"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64" fillId="10" borderId="25" xfId="0" applyFont="1" applyFill="1" applyBorder="1" applyAlignment="1">
      <alignment horizontal="center" vertical="center" wrapText="1"/>
    </xf>
    <xf numFmtId="0" fontId="64" fillId="10" borderId="25" xfId="0" applyFont="1" applyFill="1" applyBorder="1" applyAlignment="1">
      <alignment horizontal="center" vertical="center"/>
    </xf>
    <xf numFmtId="165" fontId="64" fillId="3" borderId="25" xfId="0" applyNumberFormat="1" applyFont="1" applyFill="1" applyBorder="1" applyAlignment="1">
      <alignment horizontal="right" vertical="center" wrapText="1"/>
    </xf>
    <xf numFmtId="168" fontId="34" fillId="0" borderId="0" xfId="0" applyNumberFormat="1" applyFont="1" applyAlignment="1">
      <alignment horizontal="left"/>
    </xf>
    <xf numFmtId="0" fontId="15" fillId="3" borderId="15" xfId="0" applyFont="1" applyFill="1" applyBorder="1" applyAlignment="1">
      <alignment vertical="center" wrapText="1"/>
    </xf>
    <xf numFmtId="166" fontId="4" fillId="0" borderId="16" xfId="3" applyNumberFormat="1" applyFont="1" applyBorder="1" applyAlignment="1">
      <alignment vertical="center" wrapText="1"/>
    </xf>
    <xf numFmtId="0" fontId="4" fillId="8" borderId="4" xfId="0" applyFont="1" applyFill="1" applyBorder="1" applyAlignment="1">
      <alignment vertical="center" wrapText="1"/>
    </xf>
    <xf numFmtId="166" fontId="4" fillId="0" borderId="7" xfId="3" applyNumberFormat="1" applyFont="1" applyBorder="1" applyAlignment="1">
      <alignment vertical="center" wrapText="1"/>
    </xf>
    <xf numFmtId="168" fontId="22" fillId="3" borderId="49" xfId="0" applyNumberFormat="1" applyFont="1" applyFill="1" applyBorder="1" applyAlignment="1">
      <alignment horizontal="right" vertical="center" wrapText="1"/>
    </xf>
    <xf numFmtId="168" fontId="22" fillId="3" borderId="25" xfId="0" applyNumberFormat="1" applyFont="1" applyFill="1" applyBorder="1" applyAlignment="1">
      <alignment vertical="center" wrapText="1"/>
    </xf>
    <xf numFmtId="168" fontId="1" fillId="3" borderId="25" xfId="0" applyNumberFormat="1" applyFont="1" applyFill="1" applyBorder="1" applyAlignment="1">
      <alignment vertical="center" wrapText="1"/>
    </xf>
    <xf numFmtId="168" fontId="22" fillId="3" borderId="49" xfId="0" applyNumberFormat="1" applyFont="1" applyFill="1" applyBorder="1" applyAlignment="1">
      <alignment horizontal="left" vertical="center" wrapText="1"/>
    </xf>
    <xf numFmtId="168" fontId="22" fillId="3" borderId="49" xfId="0" applyNumberFormat="1" applyFont="1" applyFill="1" applyBorder="1" applyAlignment="1">
      <alignment vertical="center" wrapText="1"/>
    </xf>
    <xf numFmtId="0" fontId="17" fillId="0" borderId="25" xfId="0" applyFont="1" applyBorder="1" applyAlignment="1">
      <alignment vertical="center" wrapText="1"/>
    </xf>
    <xf numFmtId="0" fontId="23" fillId="3" borderId="0" xfId="0" applyFont="1" applyFill="1" applyAlignment="1">
      <alignment horizontal="left"/>
    </xf>
    <xf numFmtId="3" fontId="4" fillId="0" borderId="25" xfId="0" applyNumberFormat="1" applyFont="1" applyBorder="1" applyAlignment="1">
      <alignment horizontal="left" vertical="center"/>
    </xf>
    <xf numFmtId="3" fontId="3" fillId="0" borderId="25" xfId="0" applyNumberFormat="1" applyFont="1" applyBorder="1" applyAlignment="1">
      <alignment horizontal="left" vertical="center"/>
    </xf>
    <xf numFmtId="3" fontId="4" fillId="0" borderId="25" xfId="0" quotePrefix="1" applyNumberFormat="1" applyFont="1" applyBorder="1" applyAlignment="1">
      <alignment horizontal="left" vertical="center"/>
    </xf>
    <xf numFmtId="0" fontId="15" fillId="3" borderId="29" xfId="0" applyFont="1" applyFill="1" applyBorder="1" applyAlignment="1">
      <alignment vertical="center" wrapText="1"/>
    </xf>
    <xf numFmtId="0" fontId="4" fillId="8" borderId="29" xfId="0" applyFont="1" applyFill="1" applyBorder="1" applyAlignment="1">
      <alignment vertical="center" wrapText="1"/>
    </xf>
    <xf numFmtId="0" fontId="4" fillId="3" borderId="29" xfId="0" applyFont="1" applyFill="1" applyBorder="1" applyAlignment="1">
      <alignment vertical="center" wrapText="1"/>
    </xf>
    <xf numFmtId="168" fontId="22" fillId="3" borderId="77" xfId="0" applyNumberFormat="1" applyFont="1" applyFill="1" applyBorder="1" applyAlignment="1">
      <alignment vertical="center" wrapText="1"/>
    </xf>
    <xf numFmtId="168" fontId="1" fillId="3" borderId="77" xfId="0" applyNumberFormat="1" applyFont="1" applyFill="1" applyBorder="1" applyAlignment="1">
      <alignment vertical="center" wrapText="1"/>
    </xf>
    <xf numFmtId="0" fontId="15" fillId="3" borderId="4" xfId="0" applyFont="1" applyFill="1" applyBorder="1" applyAlignment="1">
      <alignment vertical="center" wrapText="1"/>
    </xf>
    <xf numFmtId="0" fontId="4" fillId="3" borderId="4" xfId="0" applyFont="1" applyFill="1" applyBorder="1" applyAlignment="1">
      <alignment vertical="center" wrapText="1"/>
    </xf>
    <xf numFmtId="168" fontId="22" fillId="3" borderId="4" xfId="0" applyNumberFormat="1" applyFont="1" applyFill="1" applyBorder="1" applyAlignment="1">
      <alignment vertical="center" wrapText="1"/>
    </xf>
    <xf numFmtId="168" fontId="1" fillId="3" borderId="4" xfId="0" applyNumberFormat="1" applyFont="1" applyFill="1" applyBorder="1" applyAlignment="1">
      <alignment vertical="center" wrapText="1"/>
    </xf>
    <xf numFmtId="0" fontId="4" fillId="8" borderId="25" xfId="0" applyFont="1" applyFill="1" applyBorder="1" applyAlignment="1">
      <alignment vertical="center" wrapText="1"/>
    </xf>
    <xf numFmtId="165" fontId="64" fillId="18" borderId="25" xfId="0" applyNumberFormat="1" applyFont="1" applyFill="1" applyBorder="1" applyAlignment="1">
      <alignment horizontal="right" vertical="center" wrapText="1"/>
    </xf>
    <xf numFmtId="1" fontId="32" fillId="18" borderId="42" xfId="0" applyNumberFormat="1" applyFont="1" applyFill="1" applyBorder="1" applyAlignment="1">
      <alignment vertical="center" wrapText="1"/>
    </xf>
    <xf numFmtId="1" fontId="12" fillId="18" borderId="39" xfId="0" applyNumberFormat="1" applyFont="1" applyFill="1" applyBorder="1" applyAlignment="1">
      <alignment vertical="center" wrapText="1"/>
    </xf>
    <xf numFmtId="1" fontId="12" fillId="18" borderId="43" xfId="0" applyNumberFormat="1" applyFont="1" applyFill="1" applyBorder="1" applyAlignment="1">
      <alignment vertical="center" wrapText="1"/>
    </xf>
    <xf numFmtId="1" fontId="32" fillId="18" borderId="41" xfId="0" applyNumberFormat="1" applyFont="1" applyFill="1" applyBorder="1" applyAlignment="1">
      <alignment vertical="center" wrapText="1"/>
    </xf>
    <xf numFmtId="1" fontId="12" fillId="18" borderId="40" xfId="0" applyNumberFormat="1" applyFont="1" applyFill="1" applyBorder="1" applyAlignment="1">
      <alignment vertical="center" wrapText="1"/>
    </xf>
    <xf numFmtId="0" fontId="65" fillId="17" borderId="0" xfId="0" applyFont="1" applyFill="1" applyAlignment="1">
      <alignment vertical="center"/>
    </xf>
    <xf numFmtId="165" fontId="66" fillId="18" borderId="25" xfId="0" applyNumberFormat="1" applyFont="1" applyFill="1" applyBorder="1" applyAlignment="1">
      <alignment horizontal="right" vertical="center" wrapText="1"/>
    </xf>
    <xf numFmtId="165" fontId="64" fillId="0" borderId="25" xfId="0" applyNumberFormat="1" applyFont="1" applyBorder="1" applyAlignment="1">
      <alignment horizontal="right" vertical="center" wrapText="1"/>
    </xf>
    <xf numFmtId="169" fontId="15" fillId="5" borderId="30" xfId="0" applyNumberFormat="1" applyFont="1" applyFill="1" applyBorder="1"/>
    <xf numFmtId="0" fontId="22" fillId="3" borderId="51" xfId="0" applyFont="1" applyFill="1" applyBorder="1" applyAlignment="1">
      <alignment vertical="center" wrapText="1"/>
    </xf>
    <xf numFmtId="165" fontId="32" fillId="14" borderId="22" xfId="0" applyNumberFormat="1" applyFont="1" applyFill="1" applyBorder="1" applyAlignment="1">
      <alignment horizontal="right" vertical="center" wrapText="1"/>
    </xf>
    <xf numFmtId="21" fontId="32" fillId="15" borderId="22" xfId="0" applyNumberFormat="1" applyFont="1" applyFill="1" applyBorder="1" applyAlignment="1">
      <alignment horizontal="right" vertical="center" wrapText="1"/>
    </xf>
    <xf numFmtId="0" fontId="24" fillId="9" borderId="2"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27" fillId="9" borderId="44" xfId="0" applyFont="1" applyFill="1" applyBorder="1" applyAlignment="1">
      <alignment horizontal="center"/>
    </xf>
    <xf numFmtId="0" fontId="27" fillId="9" borderId="29" xfId="0" applyFont="1" applyFill="1" applyBorder="1" applyAlignment="1">
      <alignment horizontal="center"/>
    </xf>
    <xf numFmtId="0" fontId="27" fillId="9" borderId="45" xfId="0" applyFont="1" applyFill="1" applyBorder="1" applyAlignment="1">
      <alignment horizontal="center"/>
    </xf>
    <xf numFmtId="0" fontId="2" fillId="10" borderId="12" xfId="0" applyFont="1" applyFill="1" applyBorder="1" applyAlignment="1">
      <alignment horizontal="center" vertical="center" wrapText="1"/>
    </xf>
    <xf numFmtId="0" fontId="2" fillId="10" borderId="0" xfId="0" applyFont="1" applyFill="1" applyAlignment="1">
      <alignment horizontal="center" vertical="center" wrapText="1"/>
    </xf>
    <xf numFmtId="0" fontId="2" fillId="10" borderId="37" xfId="0" applyFont="1" applyFill="1" applyBorder="1" applyAlignment="1">
      <alignment horizontal="center" vertical="center" wrapText="1"/>
    </xf>
    <xf numFmtId="0" fontId="2" fillId="10" borderId="36"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7" fillId="9" borderId="23" xfId="0" applyFont="1" applyFill="1" applyBorder="1" applyAlignment="1">
      <alignment horizontal="center"/>
    </xf>
    <xf numFmtId="0" fontId="27" fillId="9" borderId="19" xfId="0" applyFont="1" applyFill="1" applyBorder="1" applyAlignment="1">
      <alignment horizontal="center"/>
    </xf>
    <xf numFmtId="0" fontId="27" fillId="9" borderId="24" xfId="0" applyFont="1" applyFill="1" applyBorder="1" applyAlignment="1">
      <alignment horizontal="center"/>
    </xf>
    <xf numFmtId="0" fontId="25" fillId="9" borderId="23"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5" fillId="9" borderId="24" xfId="0" applyFont="1" applyFill="1" applyBorder="1" applyAlignment="1">
      <alignment horizontal="center" vertical="center" wrapText="1"/>
    </xf>
    <xf numFmtId="0" fontId="31" fillId="0" borderId="0" xfId="0" applyFont="1" applyAlignment="1">
      <alignment horizontal="center" textRotation="90"/>
    </xf>
    <xf numFmtId="0" fontId="27" fillId="9" borderId="15" xfId="0" applyFont="1" applyFill="1" applyBorder="1" applyAlignment="1">
      <alignment horizontal="center" vertical="center" wrapText="1"/>
    </xf>
    <xf numFmtId="0" fontId="27" fillId="9" borderId="17" xfId="0" applyFont="1" applyFill="1" applyBorder="1" applyAlignment="1">
      <alignment horizontal="center" vertical="center" wrapText="1"/>
    </xf>
    <xf numFmtId="0" fontId="27" fillId="9" borderId="21" xfId="0" applyFont="1" applyFill="1" applyBorder="1" applyAlignment="1">
      <alignment horizontal="center" vertical="center" wrapText="1"/>
    </xf>
    <xf numFmtId="0" fontId="27" fillId="9" borderId="8"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27" fillId="9" borderId="10" xfId="0" applyFont="1" applyFill="1" applyBorder="1" applyAlignment="1">
      <alignment horizontal="center" vertical="center" wrapText="1"/>
    </xf>
    <xf numFmtId="0" fontId="54" fillId="0" borderId="13" xfId="0" applyFont="1" applyBorder="1" applyAlignment="1">
      <alignment horizontal="center" textRotation="90"/>
    </xf>
    <xf numFmtId="0" fontId="31" fillId="0" borderId="0" xfId="0" applyFont="1" applyAlignment="1">
      <alignment horizontal="left" textRotation="90"/>
    </xf>
    <xf numFmtId="0" fontId="5" fillId="0" borderId="0" xfId="0" applyFont="1" applyAlignment="1">
      <alignment horizontal="center"/>
    </xf>
    <xf numFmtId="0" fontId="53" fillId="16" borderId="59" xfId="0" applyFont="1" applyFill="1" applyBorder="1" applyAlignment="1">
      <alignment horizontal="center"/>
    </xf>
  </cellXfs>
  <cellStyles count="4">
    <cellStyle name="Komma" xfId="3" builtinId="3"/>
    <cellStyle name="Prozent" xfId="1" builtinId="5"/>
    <cellStyle name="Standard" xfId="0" builtinId="0"/>
    <cellStyle name="Standard 2" xfId="2" xr:uid="{AB13BCFB-0D91-4590-B36C-367C291D1368}"/>
  </cellStyles>
  <dxfs count="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ndense val="0"/>
        <extend val="0"/>
        <color indexed="9"/>
      </font>
    </dxf>
    <dxf>
      <font>
        <strike val="0"/>
        <condense val="0"/>
        <extend val="0"/>
        <color indexed="9"/>
      </font>
    </dxf>
    <dxf>
      <font>
        <strike val="0"/>
        <condense val="0"/>
        <extend val="0"/>
        <color indexed="9"/>
      </font>
    </dxf>
    <dxf>
      <font>
        <strike val="0"/>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46A20-42D1-4C9F-993F-FDC7484C0B5E}">
  <sheetPr codeName="Tabelle1">
    <tabColor theme="1"/>
  </sheetPr>
  <dimension ref="B1:U74"/>
  <sheetViews>
    <sheetView showGridLines="0" zoomScale="90" zoomScaleNormal="90" workbookViewId="0">
      <pane ySplit="4" topLeftCell="B5" activePane="bottomLeft" state="frozen"/>
      <selection pane="bottomLeft" activeCell="B5" sqref="B5"/>
      <selection activeCell="S22" sqref="S22"/>
    </sheetView>
  </sheetViews>
  <sheetFormatPr defaultColWidth="11.42578125" defaultRowHeight="14.25"/>
  <cols>
    <col min="1" max="1" width="2.5703125" style="5" customWidth="1"/>
    <col min="2" max="2" width="11.7109375" style="6" customWidth="1"/>
    <col min="3" max="3" width="14" style="6" bestFit="1" customWidth="1"/>
    <col min="4" max="4" width="13.28515625" style="6" bestFit="1" customWidth="1"/>
    <col min="5" max="5" width="23.85546875" style="5" bestFit="1" customWidth="1"/>
    <col min="6" max="6" width="15.28515625" style="148" bestFit="1" customWidth="1"/>
    <col min="7" max="7" width="17.5703125" style="1" bestFit="1" customWidth="1"/>
    <col min="8" max="8" width="24" style="5" bestFit="1" customWidth="1"/>
    <col min="9" max="9" width="15.28515625" style="5" bestFit="1" customWidth="1"/>
    <col min="10" max="10" width="17.5703125" style="1" bestFit="1" customWidth="1"/>
    <col min="11" max="11" width="19.5703125" style="5" bestFit="1" customWidth="1"/>
    <col min="12" max="12" width="11.42578125" style="5"/>
    <col min="13" max="13" width="11.28515625" style="5" bestFit="1" customWidth="1"/>
    <col min="14" max="14" width="5.42578125" style="5" customWidth="1"/>
    <col min="15" max="15" width="11.85546875" style="5" customWidth="1"/>
    <col min="16" max="16" width="9.28515625" style="5" bestFit="1" customWidth="1"/>
    <col min="17" max="17" width="11.42578125" style="5"/>
    <col min="18" max="18" width="6.42578125" style="5" customWidth="1"/>
    <col min="19" max="19" width="11" style="5" bestFit="1" customWidth="1"/>
    <col min="20" max="20" width="2.42578125" style="5" bestFit="1" customWidth="1"/>
    <col min="21" max="21" width="5.28515625" style="5" bestFit="1" customWidth="1"/>
    <col min="22" max="16384" width="11.42578125" style="5"/>
  </cols>
  <sheetData>
    <row r="1" spans="2:21" ht="23.25">
      <c r="B1" s="71" t="s">
        <v>0</v>
      </c>
      <c r="C1" s="71"/>
      <c r="D1" s="71"/>
      <c r="F1" s="291"/>
      <c r="G1" s="71"/>
      <c r="H1" s="71"/>
      <c r="I1" s="71"/>
      <c r="J1" s="71"/>
      <c r="K1" s="71"/>
    </row>
    <row r="2" spans="2:21">
      <c r="K2" s="2"/>
    </row>
    <row r="3" spans="2:21" ht="15" thickBot="1">
      <c r="K3" s="2"/>
    </row>
    <row r="4" spans="2:21" ht="30" customHeight="1" thickBot="1">
      <c r="B4" s="38" t="s">
        <v>1</v>
      </c>
      <c r="C4" s="38" t="s">
        <v>2</v>
      </c>
      <c r="D4" s="38" t="s">
        <v>3</v>
      </c>
      <c r="E4" s="39" t="s">
        <v>4</v>
      </c>
      <c r="F4" s="40" t="s">
        <v>5</v>
      </c>
      <c r="G4" s="41" t="s">
        <v>6</v>
      </c>
      <c r="H4" s="39" t="s">
        <v>7</v>
      </c>
      <c r="I4" s="40" t="s">
        <v>5</v>
      </c>
      <c r="J4" s="42" t="s">
        <v>6</v>
      </c>
      <c r="K4" s="43" t="s">
        <v>8</v>
      </c>
      <c r="M4" s="318" t="s">
        <v>9</v>
      </c>
      <c r="N4" s="319"/>
      <c r="O4" s="319"/>
      <c r="P4" s="320"/>
      <c r="Q4" s="231" t="s">
        <v>10</v>
      </c>
      <c r="S4" s="17"/>
      <c r="T4" s="16"/>
    </row>
    <row r="5" spans="2:21" ht="19.5" customHeight="1">
      <c r="B5" s="162">
        <v>1</v>
      </c>
      <c r="C5" s="250">
        <v>3</v>
      </c>
      <c r="D5" s="250">
        <v>11</v>
      </c>
      <c r="E5" s="251" t="s">
        <v>11</v>
      </c>
      <c r="F5" s="292">
        <v>15828</v>
      </c>
      <c r="G5" s="252" t="s">
        <v>12</v>
      </c>
      <c r="H5" s="251" t="s">
        <v>13</v>
      </c>
      <c r="I5" s="292">
        <v>15827</v>
      </c>
      <c r="J5" s="252" t="s">
        <v>12</v>
      </c>
      <c r="K5" s="252" t="s">
        <v>14</v>
      </c>
      <c r="M5" s="160" t="s">
        <v>15</v>
      </c>
      <c r="N5" s="270">
        <f>SUM(P5:P8)</f>
        <v>17</v>
      </c>
      <c r="O5" s="161" t="s">
        <v>16</v>
      </c>
      <c r="P5" s="262">
        <f>COUNTIF(D:D,2)</f>
        <v>0</v>
      </c>
      <c r="Q5" s="263">
        <f>ROUND(P5*0.3,0)</f>
        <v>0</v>
      </c>
      <c r="S5" s="51" t="s">
        <v>17</v>
      </c>
      <c r="T5" s="52" t="s">
        <v>18</v>
      </c>
      <c r="U5" s="53">
        <v>0.2</v>
      </c>
    </row>
    <row r="6" spans="2:21" ht="19.5" customHeight="1">
      <c r="B6" s="163">
        <v>2</v>
      </c>
      <c r="C6" s="250">
        <v>3</v>
      </c>
      <c r="D6" s="250">
        <v>11</v>
      </c>
      <c r="E6" s="251" t="s">
        <v>19</v>
      </c>
      <c r="F6" s="292">
        <v>15615</v>
      </c>
      <c r="G6" s="252" t="s">
        <v>20</v>
      </c>
      <c r="H6" s="251" t="s">
        <v>21</v>
      </c>
      <c r="I6" s="292">
        <v>16075</v>
      </c>
      <c r="J6" s="252" t="s">
        <v>22</v>
      </c>
      <c r="K6" s="252" t="s">
        <v>23</v>
      </c>
      <c r="M6" s="153"/>
      <c r="N6" s="271"/>
      <c r="O6" s="154" t="s">
        <v>24</v>
      </c>
      <c r="P6" s="264">
        <f>COUNTIF(D:D,3)</f>
        <v>0</v>
      </c>
      <c r="Q6" s="265">
        <f t="shared" ref="Q6" si="0">ROUND(P6*0.3,0)</f>
        <v>0</v>
      </c>
      <c r="S6" s="54" t="s">
        <v>25</v>
      </c>
      <c r="T6" s="49" t="s">
        <v>26</v>
      </c>
      <c r="U6" s="55">
        <v>0.25</v>
      </c>
    </row>
    <row r="7" spans="2:21" ht="19.5" customHeight="1">
      <c r="B7" s="163">
        <v>3</v>
      </c>
      <c r="C7" s="250">
        <v>3</v>
      </c>
      <c r="D7" s="250">
        <v>11</v>
      </c>
      <c r="E7" s="251" t="s">
        <v>27</v>
      </c>
      <c r="F7" s="292">
        <v>15208</v>
      </c>
      <c r="G7" s="252" t="s">
        <v>20</v>
      </c>
      <c r="H7" s="251" t="s">
        <v>28</v>
      </c>
      <c r="I7" s="292">
        <v>16147</v>
      </c>
      <c r="J7" s="252" t="s">
        <v>29</v>
      </c>
      <c r="K7" s="252" t="s">
        <v>30</v>
      </c>
      <c r="M7" s="153"/>
      <c r="N7" s="271"/>
      <c r="O7" s="154" t="s">
        <v>31</v>
      </c>
      <c r="P7" s="264">
        <f>COUNTIF(D:D,4)</f>
        <v>11</v>
      </c>
      <c r="Q7" s="265">
        <f>ROUND(P7*0.3,0)</f>
        <v>3</v>
      </c>
      <c r="R7" s="230"/>
      <c r="S7" s="56" t="s">
        <v>32</v>
      </c>
      <c r="T7" s="50" t="s">
        <v>33</v>
      </c>
      <c r="U7" s="57">
        <v>0.3</v>
      </c>
    </row>
    <row r="8" spans="2:21" ht="19.5" customHeight="1" thickBot="1">
      <c r="B8" s="163">
        <v>4</v>
      </c>
      <c r="C8" s="250">
        <v>3</v>
      </c>
      <c r="D8" s="250">
        <v>11</v>
      </c>
      <c r="E8" s="251" t="s">
        <v>34</v>
      </c>
      <c r="F8" s="292">
        <v>15053</v>
      </c>
      <c r="G8" s="252" t="s">
        <v>22</v>
      </c>
      <c r="H8" s="251" t="s">
        <v>35</v>
      </c>
      <c r="I8" s="292" t="s">
        <v>22</v>
      </c>
      <c r="J8" s="252" t="s">
        <v>22</v>
      </c>
      <c r="K8" s="252" t="s">
        <v>36</v>
      </c>
      <c r="M8" s="155"/>
      <c r="N8" s="272"/>
      <c r="O8" s="156" t="s">
        <v>37</v>
      </c>
      <c r="P8" s="266">
        <f>COUNTIF(D:D,5)</f>
        <v>6</v>
      </c>
      <c r="Q8" s="265">
        <f>ROUND(P8*0.3,0)</f>
        <v>2</v>
      </c>
      <c r="S8" s="58" t="s">
        <v>38</v>
      </c>
      <c r="T8" s="59" t="s">
        <v>39</v>
      </c>
      <c r="U8" s="60" t="s">
        <v>40</v>
      </c>
    </row>
    <row r="9" spans="2:21" ht="19.5" customHeight="1">
      <c r="B9" s="163">
        <v>5</v>
      </c>
      <c r="C9" s="250">
        <v>3</v>
      </c>
      <c r="D9" s="250">
        <v>11</v>
      </c>
      <c r="E9" s="251" t="s">
        <v>41</v>
      </c>
      <c r="F9" s="292">
        <v>16128</v>
      </c>
      <c r="G9" s="252" t="s">
        <v>42</v>
      </c>
      <c r="H9" s="251" t="s">
        <v>43</v>
      </c>
      <c r="I9" s="292">
        <v>16127</v>
      </c>
      <c r="J9" s="252" t="s">
        <v>42</v>
      </c>
      <c r="K9" s="252" t="s">
        <v>44</v>
      </c>
      <c r="M9" s="160" t="s">
        <v>45</v>
      </c>
      <c r="N9" s="270">
        <f>SUM(P9:P13)</f>
        <v>42</v>
      </c>
      <c r="O9" s="161" t="s">
        <v>46</v>
      </c>
      <c r="P9" s="262">
        <f>COUNTIF(D:D,6)</f>
        <v>0</v>
      </c>
      <c r="Q9" s="263">
        <f t="shared" ref="Q9:Q14" si="1">ROUND(P9*0.3,0)</f>
        <v>0</v>
      </c>
    </row>
    <row r="10" spans="2:21" ht="19.5" customHeight="1">
      <c r="B10" s="163">
        <v>6</v>
      </c>
      <c r="C10" s="250">
        <v>3</v>
      </c>
      <c r="D10" s="250">
        <v>11</v>
      </c>
      <c r="E10" s="251" t="s">
        <v>47</v>
      </c>
      <c r="F10" s="292" t="s">
        <v>22</v>
      </c>
      <c r="G10" s="252" t="s">
        <v>48</v>
      </c>
      <c r="H10" s="251" t="s">
        <v>49</v>
      </c>
      <c r="I10" s="292" t="s">
        <v>22</v>
      </c>
      <c r="J10" s="252" t="s">
        <v>50</v>
      </c>
      <c r="K10" s="252" t="s">
        <v>51</v>
      </c>
      <c r="M10" s="153"/>
      <c r="N10" s="271"/>
      <c r="O10" s="154" t="s">
        <v>52</v>
      </c>
      <c r="P10" s="264">
        <f>COUNTIF(D:D,7)</f>
        <v>3</v>
      </c>
      <c r="Q10" s="265">
        <f t="shared" si="1"/>
        <v>1</v>
      </c>
    </row>
    <row r="11" spans="2:21" ht="19.5" customHeight="1">
      <c r="B11" s="163">
        <v>7</v>
      </c>
      <c r="C11" s="250">
        <v>3</v>
      </c>
      <c r="D11" s="250">
        <v>11</v>
      </c>
      <c r="E11" s="251" t="s">
        <v>53</v>
      </c>
      <c r="F11" s="293" t="s">
        <v>22</v>
      </c>
      <c r="G11" s="252" t="s">
        <v>54</v>
      </c>
      <c r="H11" s="251" t="s">
        <v>55</v>
      </c>
      <c r="I11" s="293" t="s">
        <v>22</v>
      </c>
      <c r="J11" s="252" t="s">
        <v>22</v>
      </c>
      <c r="K11" s="252" t="s">
        <v>56</v>
      </c>
      <c r="M11" s="153"/>
      <c r="N11" s="271"/>
      <c r="O11" s="154" t="s">
        <v>57</v>
      </c>
      <c r="P11" s="264">
        <f>COUNTIF(D:D,8)</f>
        <v>11</v>
      </c>
      <c r="Q11" s="265">
        <f t="shared" si="1"/>
        <v>3</v>
      </c>
      <c r="S11" s="101" t="s">
        <v>58</v>
      </c>
    </row>
    <row r="12" spans="2:21" ht="19.5" customHeight="1">
      <c r="B12" s="163">
        <v>8</v>
      </c>
      <c r="C12" s="250">
        <v>3</v>
      </c>
      <c r="D12" s="250">
        <v>11</v>
      </c>
      <c r="E12" s="251" t="s">
        <v>59</v>
      </c>
      <c r="F12" s="292" t="s">
        <v>22</v>
      </c>
      <c r="G12" s="252" t="s">
        <v>60</v>
      </c>
      <c r="H12" s="251" t="s">
        <v>61</v>
      </c>
      <c r="I12" s="292" t="s">
        <v>22</v>
      </c>
      <c r="J12" s="252" t="s">
        <v>60</v>
      </c>
      <c r="K12" s="252" t="s">
        <v>62</v>
      </c>
      <c r="M12" s="153"/>
      <c r="N12" s="271"/>
      <c r="O12" s="154" t="s">
        <v>63</v>
      </c>
      <c r="P12" s="264">
        <f>COUNTIF(D:D,9)</f>
        <v>20</v>
      </c>
      <c r="Q12" s="265">
        <f t="shared" si="1"/>
        <v>6</v>
      </c>
    </row>
    <row r="13" spans="2:21" ht="19.5" customHeight="1" thickBot="1">
      <c r="B13" s="163">
        <v>9</v>
      </c>
      <c r="C13" s="250">
        <v>3</v>
      </c>
      <c r="D13" s="250">
        <v>11</v>
      </c>
      <c r="E13" s="251" t="s">
        <v>64</v>
      </c>
      <c r="F13" s="294" t="s">
        <v>22</v>
      </c>
      <c r="G13" s="252" t="s">
        <v>22</v>
      </c>
      <c r="H13" s="251" t="s">
        <v>65</v>
      </c>
      <c r="I13" s="294" t="s">
        <v>22</v>
      </c>
      <c r="J13" s="252" t="s">
        <v>22</v>
      </c>
      <c r="K13" s="252" t="s">
        <v>66</v>
      </c>
      <c r="M13" s="155"/>
      <c r="N13" s="272"/>
      <c r="O13" s="156" t="s">
        <v>67</v>
      </c>
      <c r="P13" s="266">
        <f>COUNTIF(D:D,10)</f>
        <v>8</v>
      </c>
      <c r="Q13" s="267">
        <f t="shared" si="1"/>
        <v>2</v>
      </c>
    </row>
    <row r="14" spans="2:21" ht="19.5" customHeight="1" thickBot="1">
      <c r="B14" s="163">
        <v>10</v>
      </c>
      <c r="C14" s="250">
        <v>3</v>
      </c>
      <c r="D14" s="250">
        <v>11</v>
      </c>
      <c r="E14" s="251" t="s">
        <v>68</v>
      </c>
      <c r="F14" s="294" t="s">
        <v>22</v>
      </c>
      <c r="G14" s="252" t="s">
        <v>29</v>
      </c>
      <c r="H14" s="251" t="s">
        <v>69</v>
      </c>
      <c r="I14" s="294" t="s">
        <v>22</v>
      </c>
      <c r="J14" s="252" t="s">
        <v>70</v>
      </c>
      <c r="K14" s="252" t="s">
        <v>71</v>
      </c>
      <c r="L14" s="36"/>
      <c r="M14" s="151" t="s">
        <v>72</v>
      </c>
      <c r="N14" s="273">
        <f>P14</f>
        <v>11</v>
      </c>
      <c r="O14" s="152" t="s">
        <v>73</v>
      </c>
      <c r="P14" s="268">
        <f>COUNTIF(D:D,11)</f>
        <v>11</v>
      </c>
      <c r="Q14" s="269">
        <f t="shared" si="1"/>
        <v>3</v>
      </c>
    </row>
    <row r="15" spans="2:21" ht="19.5" customHeight="1" thickBot="1">
      <c r="B15" s="163">
        <v>11</v>
      </c>
      <c r="C15" s="250">
        <v>2</v>
      </c>
      <c r="D15" s="250">
        <v>10</v>
      </c>
      <c r="E15" s="251" t="s">
        <v>74</v>
      </c>
      <c r="F15" s="292">
        <v>14309</v>
      </c>
      <c r="G15" s="252" t="s">
        <v>75</v>
      </c>
      <c r="H15" s="251" t="s">
        <v>76</v>
      </c>
      <c r="I15" s="292">
        <v>16294</v>
      </c>
      <c r="J15" s="252" t="s">
        <v>75</v>
      </c>
      <c r="K15" s="252" t="s">
        <v>77</v>
      </c>
      <c r="M15" s="157" t="s">
        <v>78</v>
      </c>
      <c r="N15" s="158"/>
      <c r="O15" s="159"/>
      <c r="P15" s="260">
        <f>SUM(N5:N14)</f>
        <v>70</v>
      </c>
      <c r="Q15" s="261">
        <f>SUM(Q5:Q14)</f>
        <v>20</v>
      </c>
      <c r="R15" s="150"/>
    </row>
    <row r="16" spans="2:21" ht="19.5" customHeight="1">
      <c r="B16" s="163">
        <v>12</v>
      </c>
      <c r="C16" s="250">
        <v>2</v>
      </c>
      <c r="D16" s="250">
        <v>10</v>
      </c>
      <c r="E16" s="251" t="s">
        <v>79</v>
      </c>
      <c r="F16" s="292" t="s">
        <v>22</v>
      </c>
      <c r="G16" s="252" t="s">
        <v>20</v>
      </c>
      <c r="H16" s="253" t="s">
        <v>80</v>
      </c>
      <c r="I16" s="292" t="s">
        <v>81</v>
      </c>
      <c r="J16" s="252" t="s">
        <v>20</v>
      </c>
      <c r="K16" s="252" t="s">
        <v>82</v>
      </c>
      <c r="O16" s="259" t="s">
        <v>83</v>
      </c>
      <c r="P16" s="280">
        <f>COUNT(B5:B84)-P15</f>
        <v>0</v>
      </c>
    </row>
    <row r="17" spans="2:11" ht="19.5" customHeight="1">
      <c r="B17" s="163">
        <v>13</v>
      </c>
      <c r="C17" s="250">
        <v>2</v>
      </c>
      <c r="D17" s="250">
        <v>10</v>
      </c>
      <c r="E17" s="251" t="s">
        <v>84</v>
      </c>
      <c r="F17" s="292" t="s">
        <v>22</v>
      </c>
      <c r="G17" s="252" t="s">
        <v>22</v>
      </c>
      <c r="H17" s="251" t="s">
        <v>85</v>
      </c>
      <c r="I17" s="292" t="s">
        <v>22</v>
      </c>
      <c r="J17" s="252" t="s">
        <v>22</v>
      </c>
      <c r="K17" s="252" t="s">
        <v>86</v>
      </c>
    </row>
    <row r="18" spans="2:11" ht="19.5" customHeight="1">
      <c r="B18" s="163">
        <v>15</v>
      </c>
      <c r="C18" s="250">
        <v>2</v>
      </c>
      <c r="D18" s="250">
        <v>10</v>
      </c>
      <c r="E18" s="251" t="s">
        <v>87</v>
      </c>
      <c r="F18" s="292" t="s">
        <v>22</v>
      </c>
      <c r="G18" s="252" t="s">
        <v>12</v>
      </c>
      <c r="H18" s="251" t="s">
        <v>88</v>
      </c>
      <c r="I18" s="292" t="s">
        <v>22</v>
      </c>
      <c r="J18" s="252" t="s">
        <v>12</v>
      </c>
      <c r="K18" s="252" t="s">
        <v>89</v>
      </c>
    </row>
    <row r="19" spans="2:11" ht="19.5" customHeight="1">
      <c r="B19" s="163">
        <v>16</v>
      </c>
      <c r="C19" s="250">
        <v>2</v>
      </c>
      <c r="D19" s="250">
        <v>10</v>
      </c>
      <c r="E19" s="251" t="s">
        <v>90</v>
      </c>
      <c r="F19" s="294" t="s">
        <v>22</v>
      </c>
      <c r="G19" s="252" t="s">
        <v>91</v>
      </c>
      <c r="H19" s="251" t="s">
        <v>92</v>
      </c>
      <c r="I19" s="294" t="s">
        <v>22</v>
      </c>
      <c r="J19" s="252" t="s">
        <v>91</v>
      </c>
      <c r="K19" s="252" t="s">
        <v>93</v>
      </c>
    </row>
    <row r="20" spans="2:11" ht="19.5" customHeight="1">
      <c r="B20" s="163">
        <v>17</v>
      </c>
      <c r="C20" s="250">
        <v>2</v>
      </c>
      <c r="D20" s="250">
        <v>10</v>
      </c>
      <c r="E20" s="251" t="s">
        <v>94</v>
      </c>
      <c r="F20" s="292" t="s">
        <v>22</v>
      </c>
      <c r="G20" s="252" t="s">
        <v>29</v>
      </c>
      <c r="H20" s="251" t="s">
        <v>95</v>
      </c>
      <c r="I20" s="292" t="s">
        <v>22</v>
      </c>
      <c r="J20" s="252" t="s">
        <v>29</v>
      </c>
      <c r="K20" s="252" t="s">
        <v>96</v>
      </c>
    </row>
    <row r="21" spans="2:11" ht="19.5" customHeight="1">
      <c r="B21" s="163">
        <v>18</v>
      </c>
      <c r="C21" s="250">
        <v>2</v>
      </c>
      <c r="D21" s="250">
        <v>10</v>
      </c>
      <c r="E21" s="251" t="s">
        <v>97</v>
      </c>
      <c r="F21" s="292" t="s">
        <v>22</v>
      </c>
      <c r="G21" s="252" t="s">
        <v>22</v>
      </c>
      <c r="H21" s="251" t="s">
        <v>98</v>
      </c>
      <c r="I21" s="292" t="s">
        <v>22</v>
      </c>
      <c r="J21" s="252" t="s">
        <v>22</v>
      </c>
      <c r="K21" s="252" t="s">
        <v>99</v>
      </c>
    </row>
    <row r="22" spans="2:11" ht="19.5" customHeight="1">
      <c r="B22" s="163">
        <v>19</v>
      </c>
      <c r="C22" s="250">
        <v>2</v>
      </c>
      <c r="D22" s="250">
        <v>10</v>
      </c>
      <c r="E22" s="251" t="s">
        <v>100</v>
      </c>
      <c r="F22" s="292">
        <v>16636</v>
      </c>
      <c r="G22" s="252" t="s">
        <v>22</v>
      </c>
      <c r="H22" s="251" t="s">
        <v>101</v>
      </c>
      <c r="I22" s="292">
        <v>16635</v>
      </c>
      <c r="J22" s="252" t="s">
        <v>22</v>
      </c>
      <c r="K22" s="252" t="s">
        <v>102</v>
      </c>
    </row>
    <row r="23" spans="2:11" s="4" customFormat="1" ht="19.5" customHeight="1">
      <c r="B23" s="163">
        <v>20</v>
      </c>
      <c r="C23" s="250">
        <v>2</v>
      </c>
      <c r="D23" s="250">
        <v>9</v>
      </c>
      <c r="E23" s="251" t="s">
        <v>103</v>
      </c>
      <c r="F23" s="292">
        <v>15958</v>
      </c>
      <c r="G23" s="252" t="s">
        <v>104</v>
      </c>
      <c r="H23" s="251" t="s">
        <v>105</v>
      </c>
      <c r="I23" s="292">
        <v>16275</v>
      </c>
      <c r="J23" s="252" t="s">
        <v>22</v>
      </c>
      <c r="K23" s="252" t="s">
        <v>106</v>
      </c>
    </row>
    <row r="24" spans="2:11" ht="19.5" customHeight="1">
      <c r="B24" s="163">
        <v>21</v>
      </c>
      <c r="C24" s="250">
        <v>2</v>
      </c>
      <c r="D24" s="250">
        <v>9</v>
      </c>
      <c r="E24" s="251" t="s">
        <v>107</v>
      </c>
      <c r="F24" s="292">
        <v>16280</v>
      </c>
      <c r="G24" s="252" t="s">
        <v>22</v>
      </c>
      <c r="H24" s="251" t="s">
        <v>108</v>
      </c>
      <c r="I24" s="292">
        <v>16284</v>
      </c>
      <c r="J24" s="252" t="s">
        <v>22</v>
      </c>
      <c r="K24" s="252" t="s">
        <v>109</v>
      </c>
    </row>
    <row r="25" spans="2:11" ht="19.5" customHeight="1">
      <c r="B25" s="163">
        <v>22</v>
      </c>
      <c r="C25" s="250">
        <v>2</v>
      </c>
      <c r="D25" s="250">
        <v>9</v>
      </c>
      <c r="E25" s="251" t="s">
        <v>110</v>
      </c>
      <c r="F25" s="294">
        <v>16713</v>
      </c>
      <c r="G25" s="252" t="s">
        <v>42</v>
      </c>
      <c r="H25" s="251" t="s">
        <v>111</v>
      </c>
      <c r="I25" s="294">
        <v>16723</v>
      </c>
      <c r="J25" s="252" t="s">
        <v>112</v>
      </c>
      <c r="K25" s="252" t="s">
        <v>113</v>
      </c>
    </row>
    <row r="26" spans="2:11" ht="19.5" customHeight="1">
      <c r="B26" s="163">
        <v>23</v>
      </c>
      <c r="C26" s="250">
        <v>2</v>
      </c>
      <c r="D26" s="250">
        <v>9</v>
      </c>
      <c r="E26" s="251" t="s">
        <v>114</v>
      </c>
      <c r="F26" s="294">
        <v>12467</v>
      </c>
      <c r="G26" s="252" t="s">
        <v>20</v>
      </c>
      <c r="H26" s="251" t="s">
        <v>115</v>
      </c>
      <c r="I26" s="294">
        <v>12778</v>
      </c>
      <c r="J26" s="252" t="s">
        <v>20</v>
      </c>
      <c r="K26" s="252" t="s">
        <v>116</v>
      </c>
    </row>
    <row r="27" spans="2:11" ht="19.5" customHeight="1">
      <c r="B27" s="163">
        <v>24</v>
      </c>
      <c r="C27" s="250">
        <v>2</v>
      </c>
      <c r="D27" s="250">
        <v>9</v>
      </c>
      <c r="E27" s="251" t="s">
        <v>117</v>
      </c>
      <c r="F27" s="294" t="s">
        <v>22</v>
      </c>
      <c r="G27" s="252" t="s">
        <v>118</v>
      </c>
      <c r="H27" s="251" t="s">
        <v>119</v>
      </c>
      <c r="I27" s="294" t="s">
        <v>22</v>
      </c>
      <c r="J27" s="252" t="s">
        <v>118</v>
      </c>
      <c r="K27" s="252" t="s">
        <v>120</v>
      </c>
    </row>
    <row r="28" spans="2:11" ht="19.5" customHeight="1">
      <c r="B28" s="163">
        <v>25</v>
      </c>
      <c r="C28" s="250">
        <v>2</v>
      </c>
      <c r="D28" s="250">
        <v>9</v>
      </c>
      <c r="E28" s="251" t="s">
        <v>121</v>
      </c>
      <c r="F28" s="292">
        <v>15506</v>
      </c>
      <c r="G28" s="252" t="s">
        <v>122</v>
      </c>
      <c r="H28" s="251" t="s">
        <v>123</v>
      </c>
      <c r="I28" s="292" t="s">
        <v>22</v>
      </c>
      <c r="J28" s="252" t="s">
        <v>124</v>
      </c>
      <c r="K28" s="252" t="s">
        <v>125</v>
      </c>
    </row>
    <row r="29" spans="2:11" ht="19.5" customHeight="1">
      <c r="B29" s="163">
        <v>26</v>
      </c>
      <c r="C29" s="250">
        <v>2</v>
      </c>
      <c r="D29" s="250">
        <v>9</v>
      </c>
      <c r="E29" s="251" t="s">
        <v>126</v>
      </c>
      <c r="F29" s="292" t="s">
        <v>22</v>
      </c>
      <c r="G29" s="252" t="s">
        <v>54</v>
      </c>
      <c r="H29" s="251" t="s">
        <v>127</v>
      </c>
      <c r="I29" s="292" t="s">
        <v>22</v>
      </c>
      <c r="J29" s="252" t="s">
        <v>22</v>
      </c>
      <c r="K29" s="252" t="s">
        <v>128</v>
      </c>
    </row>
    <row r="30" spans="2:11" ht="19.5" customHeight="1">
      <c r="B30" s="164">
        <v>27</v>
      </c>
      <c r="C30" s="250">
        <v>2</v>
      </c>
      <c r="D30" s="250">
        <v>9</v>
      </c>
      <c r="E30" s="251" t="s">
        <v>129</v>
      </c>
      <c r="F30" s="292" t="s">
        <v>22</v>
      </c>
      <c r="G30" s="252" t="s">
        <v>130</v>
      </c>
      <c r="H30" s="251" t="s">
        <v>131</v>
      </c>
      <c r="I30" s="292" t="s">
        <v>22</v>
      </c>
      <c r="J30" s="252" t="s">
        <v>130</v>
      </c>
      <c r="K30" s="252" t="s">
        <v>132</v>
      </c>
    </row>
    <row r="31" spans="2:11" ht="19.5" customHeight="1">
      <c r="B31" s="164">
        <v>28</v>
      </c>
      <c r="C31" s="250">
        <v>2</v>
      </c>
      <c r="D31" s="250">
        <v>9</v>
      </c>
      <c r="E31" s="251" t="s">
        <v>133</v>
      </c>
      <c r="F31" s="292">
        <v>16640</v>
      </c>
      <c r="G31" s="252" t="s">
        <v>134</v>
      </c>
      <c r="H31" s="251" t="s">
        <v>135</v>
      </c>
      <c r="I31" s="292" t="s">
        <v>22</v>
      </c>
      <c r="J31" s="252" t="s">
        <v>22</v>
      </c>
      <c r="K31" s="252" t="s">
        <v>136</v>
      </c>
    </row>
    <row r="32" spans="2:11" ht="19.5" customHeight="1">
      <c r="B32" s="164">
        <v>29</v>
      </c>
      <c r="C32" s="250">
        <v>2</v>
      </c>
      <c r="D32" s="250">
        <v>9</v>
      </c>
      <c r="E32" s="251" t="s">
        <v>137</v>
      </c>
      <c r="F32" s="292" t="s">
        <v>22</v>
      </c>
      <c r="G32" s="252" t="s">
        <v>22</v>
      </c>
      <c r="H32" s="251" t="s">
        <v>138</v>
      </c>
      <c r="I32" s="292">
        <v>14904</v>
      </c>
      <c r="J32" s="252" t="s">
        <v>139</v>
      </c>
      <c r="K32" s="252" t="s">
        <v>140</v>
      </c>
    </row>
    <row r="33" spans="2:12" ht="19.5" customHeight="1">
      <c r="B33" s="164">
        <v>30</v>
      </c>
      <c r="C33" s="250">
        <v>2</v>
      </c>
      <c r="D33" s="250">
        <v>9</v>
      </c>
      <c r="E33" s="251" t="s">
        <v>141</v>
      </c>
      <c r="F33" s="292" t="s">
        <v>22</v>
      </c>
      <c r="G33" s="252" t="s">
        <v>142</v>
      </c>
      <c r="H33" s="251" t="s">
        <v>143</v>
      </c>
      <c r="I33" s="292" t="s">
        <v>22</v>
      </c>
      <c r="J33" s="252" t="s">
        <v>142</v>
      </c>
      <c r="K33" s="252" t="s">
        <v>144</v>
      </c>
    </row>
    <row r="34" spans="2:12" ht="19.5" customHeight="1">
      <c r="B34" s="164">
        <v>31</v>
      </c>
      <c r="C34" s="250">
        <v>2</v>
      </c>
      <c r="D34" s="250">
        <v>9</v>
      </c>
      <c r="E34" s="290" t="s">
        <v>145</v>
      </c>
      <c r="F34" s="292" t="s">
        <v>22</v>
      </c>
      <c r="G34" s="252" t="s">
        <v>60</v>
      </c>
      <c r="H34" s="251" t="s">
        <v>146</v>
      </c>
      <c r="I34" s="292" t="s">
        <v>22</v>
      </c>
      <c r="J34" s="252" t="s">
        <v>22</v>
      </c>
      <c r="K34" s="252" t="s">
        <v>147</v>
      </c>
    </row>
    <row r="35" spans="2:12" ht="19.5" customHeight="1">
      <c r="B35" s="163">
        <v>32</v>
      </c>
      <c r="C35" s="250">
        <v>2</v>
      </c>
      <c r="D35" s="250">
        <v>9</v>
      </c>
      <c r="E35" s="251" t="s">
        <v>148</v>
      </c>
      <c r="F35" s="294">
        <v>8177</v>
      </c>
      <c r="G35" s="252" t="s">
        <v>22</v>
      </c>
      <c r="H35" s="251" t="s">
        <v>149</v>
      </c>
      <c r="I35" s="294">
        <v>14447</v>
      </c>
      <c r="J35" s="252" t="s">
        <v>150</v>
      </c>
      <c r="K35" s="252" t="s">
        <v>151</v>
      </c>
      <c r="L35" s="36"/>
    </row>
    <row r="36" spans="2:12" ht="19.5" customHeight="1">
      <c r="B36" s="164">
        <v>33</v>
      </c>
      <c r="C36" s="250">
        <v>2</v>
      </c>
      <c r="D36" s="250">
        <v>9</v>
      </c>
      <c r="E36" s="251" t="s">
        <v>152</v>
      </c>
      <c r="F36" s="294" t="s">
        <v>22</v>
      </c>
      <c r="G36" s="252" t="s">
        <v>153</v>
      </c>
      <c r="H36" s="251" t="s">
        <v>154</v>
      </c>
      <c r="I36" s="294">
        <v>15287</v>
      </c>
      <c r="J36" s="252" t="s">
        <v>155</v>
      </c>
      <c r="K36" s="252" t="s">
        <v>156</v>
      </c>
    </row>
    <row r="37" spans="2:12" ht="19.5" customHeight="1">
      <c r="B37" s="164">
        <v>34</v>
      </c>
      <c r="C37" s="250">
        <v>2</v>
      </c>
      <c r="D37" s="250">
        <v>9</v>
      </c>
      <c r="E37" s="251" t="s">
        <v>157</v>
      </c>
      <c r="F37" s="294" t="s">
        <v>22</v>
      </c>
      <c r="G37" s="252" t="s">
        <v>153</v>
      </c>
      <c r="H37" s="251" t="s">
        <v>158</v>
      </c>
      <c r="I37" s="294" t="s">
        <v>22</v>
      </c>
      <c r="J37" s="252" t="s">
        <v>153</v>
      </c>
      <c r="K37" s="252" t="s">
        <v>106</v>
      </c>
    </row>
    <row r="38" spans="2:12" ht="19.5" customHeight="1">
      <c r="B38" s="164">
        <v>35</v>
      </c>
      <c r="C38" s="250">
        <v>2</v>
      </c>
      <c r="D38" s="250">
        <v>9</v>
      </c>
      <c r="E38" s="251" t="s">
        <v>159</v>
      </c>
      <c r="F38" s="292" t="s">
        <v>22</v>
      </c>
      <c r="G38" s="252" t="s">
        <v>118</v>
      </c>
      <c r="H38" s="251" t="s">
        <v>160</v>
      </c>
      <c r="I38" s="292" t="s">
        <v>22</v>
      </c>
      <c r="J38" s="252" t="s">
        <v>118</v>
      </c>
      <c r="K38" s="252" t="s">
        <v>106</v>
      </c>
    </row>
    <row r="39" spans="2:12" ht="19.5" customHeight="1">
      <c r="B39" s="164">
        <v>36</v>
      </c>
      <c r="C39" s="250">
        <v>2</v>
      </c>
      <c r="D39" s="250">
        <v>9</v>
      </c>
      <c r="E39" s="251" t="s">
        <v>161</v>
      </c>
      <c r="F39" s="292" t="s">
        <v>22</v>
      </c>
      <c r="G39" s="252" t="s">
        <v>22</v>
      </c>
      <c r="H39" s="251" t="s">
        <v>162</v>
      </c>
      <c r="I39" s="292" t="s">
        <v>22</v>
      </c>
      <c r="J39" s="252" t="s">
        <v>22</v>
      </c>
      <c r="K39" s="252" t="s">
        <v>163</v>
      </c>
    </row>
    <row r="40" spans="2:12" ht="19.5" customHeight="1">
      <c r="B40" s="164">
        <v>37</v>
      </c>
      <c r="C40" s="250">
        <v>2</v>
      </c>
      <c r="D40" s="250">
        <v>9</v>
      </c>
      <c r="E40" s="290" t="s">
        <v>164</v>
      </c>
      <c r="F40" s="294" t="s">
        <v>22</v>
      </c>
      <c r="G40" s="252" t="s">
        <v>165</v>
      </c>
      <c r="H40" s="251" t="s">
        <v>166</v>
      </c>
      <c r="I40" s="294" t="s">
        <v>22</v>
      </c>
      <c r="J40" s="252" t="s">
        <v>165</v>
      </c>
      <c r="K40" s="252" t="s">
        <v>167</v>
      </c>
    </row>
    <row r="41" spans="2:12" ht="19.5" customHeight="1">
      <c r="B41" s="164">
        <v>38</v>
      </c>
      <c r="C41" s="250">
        <v>2</v>
      </c>
      <c r="D41" s="250">
        <v>9</v>
      </c>
      <c r="E41" s="251" t="s">
        <v>168</v>
      </c>
      <c r="F41" s="294" t="s">
        <v>22</v>
      </c>
      <c r="G41" s="252" t="s">
        <v>22</v>
      </c>
      <c r="H41" s="251" t="s">
        <v>169</v>
      </c>
      <c r="I41" s="294" t="s">
        <v>22</v>
      </c>
      <c r="J41" s="252" t="s">
        <v>22</v>
      </c>
      <c r="K41" s="252" t="s">
        <v>170</v>
      </c>
    </row>
    <row r="42" spans="2:12" ht="19.5" customHeight="1">
      <c r="B42" s="164">
        <v>39</v>
      </c>
      <c r="C42" s="250">
        <v>2</v>
      </c>
      <c r="D42" s="250">
        <v>8</v>
      </c>
      <c r="E42" s="251" t="s">
        <v>171</v>
      </c>
      <c r="F42" s="294">
        <v>16444</v>
      </c>
      <c r="G42" s="252" t="s">
        <v>155</v>
      </c>
      <c r="H42" s="251" t="s">
        <v>172</v>
      </c>
      <c r="I42" s="294">
        <v>16445</v>
      </c>
      <c r="J42" s="252" t="s">
        <v>22</v>
      </c>
      <c r="K42" s="252" t="s">
        <v>173</v>
      </c>
    </row>
    <row r="43" spans="2:12" ht="19.5" customHeight="1">
      <c r="B43" s="164">
        <v>40</v>
      </c>
      <c r="C43" s="250">
        <v>2</v>
      </c>
      <c r="D43" s="250">
        <v>8</v>
      </c>
      <c r="E43" s="251" t="s">
        <v>174</v>
      </c>
      <c r="F43" s="294">
        <v>15058</v>
      </c>
      <c r="G43" s="252" t="s">
        <v>22</v>
      </c>
      <c r="H43" s="251" t="s">
        <v>175</v>
      </c>
      <c r="I43" s="294">
        <v>16716</v>
      </c>
      <c r="J43" s="252" t="s">
        <v>22</v>
      </c>
      <c r="K43" s="252" t="s">
        <v>176</v>
      </c>
    </row>
    <row r="44" spans="2:12" ht="19.5" customHeight="1">
      <c r="B44" s="164">
        <v>41</v>
      </c>
      <c r="C44" s="250">
        <v>2</v>
      </c>
      <c r="D44" s="250">
        <v>8</v>
      </c>
      <c r="E44" s="251" t="s">
        <v>177</v>
      </c>
      <c r="F44" s="292">
        <v>14751</v>
      </c>
      <c r="G44" s="252" t="s">
        <v>20</v>
      </c>
      <c r="H44" s="251" t="s">
        <v>178</v>
      </c>
      <c r="I44" s="294">
        <v>15055</v>
      </c>
      <c r="J44" s="252" t="s">
        <v>20</v>
      </c>
      <c r="K44" s="252" t="s">
        <v>113</v>
      </c>
    </row>
    <row r="45" spans="2:12" ht="19.5" customHeight="1">
      <c r="B45" s="164">
        <v>42</v>
      </c>
      <c r="C45" s="250">
        <v>2</v>
      </c>
      <c r="D45" s="250">
        <v>9</v>
      </c>
      <c r="E45" s="251" t="s">
        <v>179</v>
      </c>
      <c r="F45" s="292">
        <v>16648</v>
      </c>
      <c r="G45" s="252" t="s">
        <v>180</v>
      </c>
      <c r="H45" s="251" t="s">
        <v>181</v>
      </c>
      <c r="I45" s="292">
        <v>15100</v>
      </c>
      <c r="J45" s="252" t="s">
        <v>180</v>
      </c>
      <c r="K45" s="252" t="s">
        <v>182</v>
      </c>
    </row>
    <row r="46" spans="2:12" ht="19.5" customHeight="1">
      <c r="B46" s="164">
        <v>43</v>
      </c>
      <c r="C46" s="250">
        <v>2</v>
      </c>
      <c r="D46" s="250">
        <v>8</v>
      </c>
      <c r="E46" s="251" t="s">
        <v>183</v>
      </c>
      <c r="F46" s="294">
        <v>15607</v>
      </c>
      <c r="G46" s="252" t="s">
        <v>22</v>
      </c>
      <c r="H46" s="251" t="s">
        <v>184</v>
      </c>
      <c r="I46" s="294">
        <v>15606</v>
      </c>
      <c r="J46" s="252" t="s">
        <v>22</v>
      </c>
      <c r="K46" s="252" t="s">
        <v>185</v>
      </c>
    </row>
    <row r="47" spans="2:12" ht="19.5" customHeight="1">
      <c r="B47" s="164">
        <v>44</v>
      </c>
      <c r="C47" s="250">
        <v>2</v>
      </c>
      <c r="D47" s="250">
        <v>8</v>
      </c>
      <c r="E47" s="251" t="s">
        <v>186</v>
      </c>
      <c r="F47" s="294">
        <v>14855</v>
      </c>
      <c r="G47" s="252" t="s">
        <v>187</v>
      </c>
      <c r="H47" s="251" t="s">
        <v>188</v>
      </c>
      <c r="I47" s="294">
        <v>15622</v>
      </c>
      <c r="J47" s="252" t="s">
        <v>187</v>
      </c>
      <c r="K47" s="252" t="s">
        <v>189</v>
      </c>
    </row>
    <row r="48" spans="2:12" ht="19.5" customHeight="1">
      <c r="B48" s="164">
        <v>45</v>
      </c>
      <c r="C48" s="250">
        <v>2</v>
      </c>
      <c r="D48" s="250">
        <v>8</v>
      </c>
      <c r="E48" s="251" t="s">
        <v>190</v>
      </c>
      <c r="F48" s="294" t="s">
        <v>22</v>
      </c>
      <c r="G48" s="252" t="s">
        <v>22</v>
      </c>
      <c r="H48" s="251" t="s">
        <v>191</v>
      </c>
      <c r="I48" s="294" t="s">
        <v>22</v>
      </c>
      <c r="J48" s="252" t="s">
        <v>22</v>
      </c>
      <c r="K48" s="252" t="s">
        <v>192</v>
      </c>
    </row>
    <row r="49" spans="2:11" ht="19.5" customHeight="1">
      <c r="B49" s="164">
        <v>46</v>
      </c>
      <c r="C49" s="250">
        <v>2</v>
      </c>
      <c r="D49" s="250">
        <v>8</v>
      </c>
      <c r="E49" s="251" t="s">
        <v>193</v>
      </c>
      <c r="F49" s="292">
        <v>15636</v>
      </c>
      <c r="G49" s="252" t="s">
        <v>194</v>
      </c>
      <c r="H49" s="251" t="s">
        <v>195</v>
      </c>
      <c r="I49" s="292">
        <v>15637</v>
      </c>
      <c r="J49" s="252" t="s">
        <v>22</v>
      </c>
      <c r="K49" s="252" t="s">
        <v>196</v>
      </c>
    </row>
    <row r="50" spans="2:11" ht="19.5" customHeight="1">
      <c r="B50" s="164">
        <v>47</v>
      </c>
      <c r="C50" s="250">
        <v>2</v>
      </c>
      <c r="D50" s="250">
        <v>8</v>
      </c>
      <c r="E50" s="251" t="s">
        <v>197</v>
      </c>
      <c r="F50" s="292" t="s">
        <v>22</v>
      </c>
      <c r="G50" s="252" t="s">
        <v>198</v>
      </c>
      <c r="H50" s="251" t="s">
        <v>199</v>
      </c>
      <c r="I50" s="292" t="s">
        <v>22</v>
      </c>
      <c r="J50" s="252" t="s">
        <v>22</v>
      </c>
      <c r="K50" s="252" t="s">
        <v>200</v>
      </c>
    </row>
    <row r="51" spans="2:11" ht="19.5" customHeight="1">
      <c r="B51" s="164">
        <v>48</v>
      </c>
      <c r="C51" s="250">
        <v>2</v>
      </c>
      <c r="D51" s="250">
        <v>8</v>
      </c>
      <c r="E51" s="251" t="s">
        <v>201</v>
      </c>
      <c r="F51" s="292">
        <v>15626</v>
      </c>
      <c r="G51" s="252" t="s">
        <v>202</v>
      </c>
      <c r="H51" s="251" t="s">
        <v>203</v>
      </c>
      <c r="I51" s="292">
        <v>16561</v>
      </c>
      <c r="J51" s="252" t="s">
        <v>202</v>
      </c>
      <c r="K51" s="252" t="s">
        <v>113</v>
      </c>
    </row>
    <row r="52" spans="2:11" ht="19.5" customHeight="1">
      <c r="B52" s="164">
        <v>49</v>
      </c>
      <c r="C52" s="250">
        <v>2</v>
      </c>
      <c r="D52" s="250">
        <v>8</v>
      </c>
      <c r="E52" s="251" t="s">
        <v>204</v>
      </c>
      <c r="F52" s="294" t="s">
        <v>22</v>
      </c>
      <c r="G52" s="252" t="s">
        <v>22</v>
      </c>
      <c r="H52" s="251" t="s">
        <v>205</v>
      </c>
      <c r="I52" s="294" t="s">
        <v>22</v>
      </c>
      <c r="J52" s="252" t="s">
        <v>22</v>
      </c>
      <c r="K52" s="252" t="s">
        <v>206</v>
      </c>
    </row>
    <row r="53" spans="2:11" ht="19.5" customHeight="1">
      <c r="B53" s="164">
        <v>50</v>
      </c>
      <c r="C53" s="250">
        <v>2</v>
      </c>
      <c r="D53" s="250">
        <v>8</v>
      </c>
      <c r="E53" s="251" t="s">
        <v>207</v>
      </c>
      <c r="F53" s="292">
        <v>20275</v>
      </c>
      <c r="G53" s="252" t="s">
        <v>208</v>
      </c>
      <c r="H53" s="251" t="s">
        <v>209</v>
      </c>
      <c r="I53" s="294">
        <v>40075</v>
      </c>
      <c r="J53" s="252" t="s">
        <v>210</v>
      </c>
      <c r="K53" s="252" t="s">
        <v>211</v>
      </c>
    </row>
    <row r="54" spans="2:11" ht="19.5" customHeight="1">
      <c r="B54" s="164">
        <v>51</v>
      </c>
      <c r="C54" s="250">
        <v>2</v>
      </c>
      <c r="D54" s="250">
        <v>7</v>
      </c>
      <c r="E54" s="251" t="s">
        <v>212</v>
      </c>
      <c r="F54" s="294">
        <v>16634</v>
      </c>
      <c r="G54" s="252" t="s">
        <v>213</v>
      </c>
      <c r="H54" s="251" t="s">
        <v>214</v>
      </c>
      <c r="I54" s="294">
        <v>16724</v>
      </c>
      <c r="J54" s="252" t="s">
        <v>213</v>
      </c>
      <c r="K54" s="252" t="s">
        <v>215</v>
      </c>
    </row>
    <row r="55" spans="2:11" ht="19.5" customHeight="1">
      <c r="B55" s="164">
        <v>52</v>
      </c>
      <c r="C55" s="250">
        <v>2</v>
      </c>
      <c r="D55" s="250">
        <v>7</v>
      </c>
      <c r="E55" s="251" t="s">
        <v>216</v>
      </c>
      <c r="F55" s="294">
        <v>12291</v>
      </c>
      <c r="G55" s="252" t="s">
        <v>139</v>
      </c>
      <c r="H55" s="251" t="s">
        <v>217</v>
      </c>
      <c r="I55" s="294">
        <v>15785</v>
      </c>
      <c r="J55" s="252" t="s">
        <v>22</v>
      </c>
      <c r="K55" s="252" t="s">
        <v>218</v>
      </c>
    </row>
    <row r="56" spans="2:11" ht="19.5" customHeight="1">
      <c r="B56" s="164">
        <v>53</v>
      </c>
      <c r="C56" s="250">
        <v>2</v>
      </c>
      <c r="D56" s="250">
        <v>7</v>
      </c>
      <c r="E56" s="251" t="s">
        <v>219</v>
      </c>
      <c r="F56" s="292">
        <v>16011</v>
      </c>
      <c r="G56" s="252" t="s">
        <v>20</v>
      </c>
      <c r="H56" s="251" t="s">
        <v>220</v>
      </c>
      <c r="I56" s="292">
        <v>16631</v>
      </c>
      <c r="J56" s="252" t="s">
        <v>221</v>
      </c>
      <c r="K56" s="252" t="s">
        <v>222</v>
      </c>
    </row>
    <row r="57" spans="2:11" ht="19.5" customHeight="1">
      <c r="B57" s="164">
        <v>54</v>
      </c>
      <c r="C57" s="250">
        <v>1</v>
      </c>
      <c r="D57" s="250">
        <v>5</v>
      </c>
      <c r="E57" s="251" t="s">
        <v>223</v>
      </c>
      <c r="F57" s="294">
        <v>15610</v>
      </c>
      <c r="G57" s="252" t="s">
        <v>29</v>
      </c>
      <c r="H57" s="251" t="s">
        <v>224</v>
      </c>
      <c r="I57" s="294">
        <v>15609</v>
      </c>
      <c r="J57" s="252" t="s">
        <v>29</v>
      </c>
      <c r="K57" s="252" t="s">
        <v>225</v>
      </c>
    </row>
    <row r="58" spans="2:11" ht="19.5" customHeight="1">
      <c r="B58" s="164">
        <v>55</v>
      </c>
      <c r="C58" s="250">
        <v>1</v>
      </c>
      <c r="D58" s="250">
        <v>5</v>
      </c>
      <c r="E58" s="290" t="s">
        <v>226</v>
      </c>
      <c r="F58" s="292">
        <v>14763</v>
      </c>
      <c r="G58" s="252" t="s">
        <v>20</v>
      </c>
      <c r="H58" s="251" t="s">
        <v>227</v>
      </c>
      <c r="I58" s="292">
        <v>16168</v>
      </c>
      <c r="J58" s="252" t="s">
        <v>70</v>
      </c>
      <c r="K58" s="252" t="s">
        <v>228</v>
      </c>
    </row>
    <row r="59" spans="2:11" ht="19.5" customHeight="1">
      <c r="B59" s="164">
        <v>56</v>
      </c>
      <c r="C59" s="250">
        <v>1</v>
      </c>
      <c r="D59" s="250">
        <v>5</v>
      </c>
      <c r="E59" s="251" t="s">
        <v>229</v>
      </c>
      <c r="F59" s="292">
        <v>15997</v>
      </c>
      <c r="G59" s="252" t="s">
        <v>230</v>
      </c>
      <c r="H59" s="251" t="s">
        <v>231</v>
      </c>
      <c r="I59" s="292">
        <v>16625</v>
      </c>
      <c r="J59" s="252" t="s">
        <v>22</v>
      </c>
      <c r="K59" s="252" t="s">
        <v>232</v>
      </c>
    </row>
    <row r="60" spans="2:11" ht="19.5" customHeight="1">
      <c r="B60" s="164">
        <v>57</v>
      </c>
      <c r="C60" s="250">
        <v>1</v>
      </c>
      <c r="D60" s="250">
        <v>5</v>
      </c>
      <c r="E60" s="251" t="s">
        <v>233</v>
      </c>
      <c r="F60" s="292">
        <v>16308</v>
      </c>
      <c r="G60" s="252" t="s">
        <v>20</v>
      </c>
      <c r="H60" s="251" t="s">
        <v>234</v>
      </c>
      <c r="I60" s="292">
        <v>16309</v>
      </c>
      <c r="J60" s="252" t="s">
        <v>22</v>
      </c>
      <c r="K60" s="252" t="s">
        <v>235</v>
      </c>
    </row>
    <row r="61" spans="2:11" ht="19.5" customHeight="1">
      <c r="B61" s="164">
        <v>58</v>
      </c>
      <c r="C61" s="250">
        <v>1</v>
      </c>
      <c r="D61" s="250">
        <v>5</v>
      </c>
      <c r="E61" s="251" t="s">
        <v>236</v>
      </c>
      <c r="F61" s="292">
        <v>16416</v>
      </c>
      <c r="G61" s="252" t="s">
        <v>42</v>
      </c>
      <c r="H61" s="251" t="s">
        <v>237</v>
      </c>
      <c r="I61" s="292">
        <v>13818</v>
      </c>
      <c r="J61" s="252" t="s">
        <v>42</v>
      </c>
      <c r="K61" s="252" t="s">
        <v>238</v>
      </c>
    </row>
    <row r="62" spans="2:11" ht="19.5" customHeight="1">
      <c r="B62" s="164">
        <v>59</v>
      </c>
      <c r="C62" s="250">
        <v>1</v>
      </c>
      <c r="D62" s="250">
        <v>5</v>
      </c>
      <c r="E62" s="251" t="s">
        <v>239</v>
      </c>
      <c r="F62" s="292">
        <v>16415</v>
      </c>
      <c r="G62" s="252" t="s">
        <v>42</v>
      </c>
      <c r="H62" s="253" t="s">
        <v>240</v>
      </c>
      <c r="I62" s="292">
        <f>-'Eingabe Zeiten'!J1110</f>
        <v>0</v>
      </c>
      <c r="J62" s="252" t="s">
        <v>42</v>
      </c>
      <c r="K62" s="252" t="s">
        <v>228</v>
      </c>
    </row>
    <row r="63" spans="2:11" ht="19.5" customHeight="1">
      <c r="B63" s="164">
        <v>60</v>
      </c>
      <c r="C63" s="250">
        <v>3</v>
      </c>
      <c r="D63" s="250">
        <v>11</v>
      </c>
      <c r="E63" s="251" t="s">
        <v>241</v>
      </c>
      <c r="F63" s="294" t="s">
        <v>22</v>
      </c>
      <c r="G63" s="252" t="s">
        <v>242</v>
      </c>
      <c r="H63" s="251" t="s">
        <v>243</v>
      </c>
      <c r="I63" s="294" t="s">
        <v>22</v>
      </c>
      <c r="J63" s="252" t="s">
        <v>22</v>
      </c>
      <c r="K63" s="252" t="s">
        <v>244</v>
      </c>
    </row>
    <row r="64" spans="2:11" ht="33.75">
      <c r="B64" s="164">
        <v>61</v>
      </c>
      <c r="C64" s="250">
        <v>1</v>
      </c>
      <c r="D64" s="250">
        <v>4</v>
      </c>
      <c r="E64" s="251" t="s">
        <v>245</v>
      </c>
      <c r="F64" s="294">
        <v>15209</v>
      </c>
      <c r="G64" s="252" t="s">
        <v>246</v>
      </c>
      <c r="H64" s="251" t="s">
        <v>247</v>
      </c>
      <c r="I64" s="294">
        <v>14869</v>
      </c>
      <c r="J64" s="252" t="s">
        <v>248</v>
      </c>
      <c r="K64" s="252" t="s">
        <v>23</v>
      </c>
    </row>
    <row r="65" spans="2:11" ht="18">
      <c r="B65" s="164">
        <v>62</v>
      </c>
      <c r="C65" s="250">
        <v>1</v>
      </c>
      <c r="D65" s="250">
        <v>4</v>
      </c>
      <c r="E65" s="251" t="s">
        <v>249</v>
      </c>
      <c r="F65" s="294">
        <v>16132</v>
      </c>
      <c r="G65" s="252" t="s">
        <v>20</v>
      </c>
      <c r="H65" s="251" t="s">
        <v>250</v>
      </c>
      <c r="I65" s="294">
        <v>16297</v>
      </c>
      <c r="J65" s="252" t="s">
        <v>20</v>
      </c>
      <c r="K65" s="252" t="s">
        <v>251</v>
      </c>
    </row>
    <row r="66" spans="2:11" ht="22.5">
      <c r="B66" s="164">
        <v>63</v>
      </c>
      <c r="C66" s="250">
        <v>1</v>
      </c>
      <c r="D66" s="250">
        <v>4</v>
      </c>
      <c r="E66" s="251" t="s">
        <v>252</v>
      </c>
      <c r="F66" s="294">
        <v>12813</v>
      </c>
      <c r="G66" s="252" t="s">
        <v>29</v>
      </c>
      <c r="H66" s="251" t="s">
        <v>253</v>
      </c>
      <c r="I66" s="292">
        <v>15542</v>
      </c>
      <c r="J66" s="252" t="s">
        <v>254</v>
      </c>
      <c r="K66" s="252" t="s">
        <v>255</v>
      </c>
    </row>
    <row r="67" spans="2:11" ht="18">
      <c r="B67" s="164">
        <v>64</v>
      </c>
      <c r="C67" s="250">
        <v>1</v>
      </c>
      <c r="D67" s="250">
        <v>4</v>
      </c>
      <c r="E67" s="251" t="s">
        <v>256</v>
      </c>
      <c r="F67" s="294">
        <v>15498</v>
      </c>
      <c r="G67" s="252" t="s">
        <v>22</v>
      </c>
      <c r="H67" s="251" t="s">
        <v>257</v>
      </c>
      <c r="I67" s="294">
        <v>16424</v>
      </c>
      <c r="J67" s="252" t="s">
        <v>22</v>
      </c>
      <c r="K67" s="252" t="s">
        <v>258</v>
      </c>
    </row>
    <row r="68" spans="2:11" ht="18">
      <c r="B68" s="164">
        <v>65</v>
      </c>
      <c r="C68" s="250">
        <v>1</v>
      </c>
      <c r="D68" s="250">
        <v>4</v>
      </c>
      <c r="E68" s="251" t="s">
        <v>259</v>
      </c>
      <c r="F68" s="294">
        <v>16425</v>
      </c>
      <c r="G68" s="252" t="s">
        <v>75</v>
      </c>
      <c r="H68" s="251" t="s">
        <v>260</v>
      </c>
      <c r="I68" s="294">
        <v>16426</v>
      </c>
      <c r="J68" s="252" t="s">
        <v>75</v>
      </c>
      <c r="K68" s="252" t="s">
        <v>261</v>
      </c>
    </row>
    <row r="69" spans="2:11" ht="18">
      <c r="B69" s="164">
        <v>66</v>
      </c>
      <c r="C69" s="250">
        <v>1</v>
      </c>
      <c r="D69" s="250">
        <v>4</v>
      </c>
      <c r="E69" s="251" t="s">
        <v>262</v>
      </c>
      <c r="F69" s="294">
        <v>14172</v>
      </c>
      <c r="G69" s="252" t="s">
        <v>75</v>
      </c>
      <c r="H69" s="251" t="s">
        <v>263</v>
      </c>
      <c r="I69" s="294">
        <v>14748</v>
      </c>
      <c r="J69" s="252" t="s">
        <v>75</v>
      </c>
      <c r="K69" s="252" t="s">
        <v>264</v>
      </c>
    </row>
    <row r="70" spans="2:11" ht="18">
      <c r="B70" s="164">
        <v>67</v>
      </c>
      <c r="C70" s="250">
        <v>1</v>
      </c>
      <c r="D70" s="250">
        <v>4</v>
      </c>
      <c r="E70" s="251" t="s">
        <v>265</v>
      </c>
      <c r="F70" s="292">
        <v>20268</v>
      </c>
      <c r="G70" s="252" t="s">
        <v>42</v>
      </c>
      <c r="H70" s="251" t="s">
        <v>266</v>
      </c>
      <c r="I70" s="292">
        <v>20042</v>
      </c>
      <c r="J70" s="252" t="s">
        <v>42</v>
      </c>
      <c r="K70" s="252" t="s">
        <v>267</v>
      </c>
    </row>
    <row r="71" spans="2:11" ht="18">
      <c r="B71" s="164">
        <v>68</v>
      </c>
      <c r="C71" s="250">
        <v>1</v>
      </c>
      <c r="D71" s="250">
        <v>4</v>
      </c>
      <c r="E71" s="251" t="s">
        <v>268</v>
      </c>
      <c r="F71" s="294" t="s">
        <v>22</v>
      </c>
      <c r="G71" s="252" t="s">
        <v>269</v>
      </c>
      <c r="H71" s="251" t="s">
        <v>270</v>
      </c>
      <c r="I71" s="294" t="s">
        <v>22</v>
      </c>
      <c r="J71" s="252" t="s">
        <v>269</v>
      </c>
      <c r="K71" s="252" t="s">
        <v>271</v>
      </c>
    </row>
    <row r="72" spans="2:11" ht="18">
      <c r="B72" s="164">
        <v>69</v>
      </c>
      <c r="C72" s="250">
        <v>1</v>
      </c>
      <c r="D72" s="250">
        <v>4</v>
      </c>
      <c r="E72" s="251" t="s">
        <v>272</v>
      </c>
      <c r="F72" s="294" t="s">
        <v>22</v>
      </c>
      <c r="G72" s="252" t="s">
        <v>42</v>
      </c>
      <c r="H72" s="251" t="s">
        <v>273</v>
      </c>
      <c r="I72" s="294" t="s">
        <v>22</v>
      </c>
      <c r="J72" s="252" t="s">
        <v>42</v>
      </c>
      <c r="K72" s="252" t="s">
        <v>264</v>
      </c>
    </row>
    <row r="73" spans="2:11" ht="22.5">
      <c r="B73" s="164">
        <v>70</v>
      </c>
      <c r="C73" s="250">
        <v>1</v>
      </c>
      <c r="D73" s="250">
        <v>4</v>
      </c>
      <c r="E73" s="251" t="s">
        <v>274</v>
      </c>
      <c r="F73" s="294" t="s">
        <v>22</v>
      </c>
      <c r="G73" s="252" t="s">
        <v>275</v>
      </c>
      <c r="H73" s="251" t="s">
        <v>276</v>
      </c>
      <c r="I73" s="294" t="s">
        <v>22</v>
      </c>
      <c r="J73" s="252" t="s">
        <v>275</v>
      </c>
      <c r="K73" s="252" t="s">
        <v>277</v>
      </c>
    </row>
    <row r="74" spans="2:11" ht="18">
      <c r="B74" s="164">
        <v>71</v>
      </c>
      <c r="C74" s="250">
        <v>1</v>
      </c>
      <c r="D74" s="250">
        <v>4</v>
      </c>
      <c r="E74" s="251" t="s">
        <v>278</v>
      </c>
      <c r="F74" s="294" t="s">
        <v>22</v>
      </c>
      <c r="G74" s="252" t="s">
        <v>22</v>
      </c>
      <c r="H74" s="251" t="s">
        <v>279</v>
      </c>
      <c r="I74" s="294" t="s">
        <v>22</v>
      </c>
      <c r="J74" s="252" t="s">
        <v>22</v>
      </c>
      <c r="K74" s="252" t="s">
        <v>261</v>
      </c>
    </row>
  </sheetData>
  <autoFilter ref="B4:K4" xr:uid="{BD846A20-42D1-4C9F-993F-FDC7484C0B5E}">
    <sortState xmlns:xlrd2="http://schemas.microsoft.com/office/spreadsheetml/2017/richdata2" ref="B5:K67">
      <sortCondition ref="B4"/>
    </sortState>
  </autoFilter>
  <mergeCells count="1">
    <mergeCell ref="M4:P4"/>
  </mergeCells>
  <conditionalFormatting sqref="R15 P16">
    <cfRule type="cellIs" dxfId="92" priority="1" operator="greaterThan">
      <formula>0</formula>
    </cfRule>
    <cfRule type="cellIs" dxfId="91" priority="2" operator="lessThan">
      <formula>0</formula>
    </cfRule>
  </conditionalFormatting>
  <conditionalFormatting sqref="B5:B74">
    <cfRule type="expression" dxfId="90" priority="1423" stopIfTrue="1">
      <formula>COUNTIF($B$5:$B$148,B5)&gt;1</formula>
    </cfRule>
  </conditionalFormatting>
  <pageMargins left="0.7" right="0.7" top="0.75" bottom="0.75" header="0.3" footer="0.3"/>
  <pageSetup paperSize="9" scale="43" orientation="portrait" r:id="rId1"/>
  <headerFooter>
    <oddHeader>&amp;R&amp;G</oddHeader>
    <oddFooter>&amp;L&amp;"Arial,Standard"&amp;8&amp;F, &amp;A&amp;R&amp;"Arial,Standard"&amp;8&amp;D,&amp;T</oddFooter>
  </headerFooter>
  <legacy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9AB7-03E3-4A54-B181-A74F25AA971D}">
  <sheetPr>
    <tabColor theme="7"/>
    <pageSetUpPr fitToPage="1"/>
  </sheetPr>
  <dimension ref="B1:AA37"/>
  <sheetViews>
    <sheetView showGridLines="0" zoomScaleNormal="100" zoomScaleSheetLayoutView="130" workbookViewId="0">
      <pane xSplit="5" ySplit="6" topLeftCell="F7" activePane="bottomRight" state="frozen"/>
      <selection pane="bottomRight" activeCell="B1" sqref="B1:T14"/>
      <selection pane="bottomLeft" activeCell="J24" sqref="J24"/>
      <selection pane="topRight" activeCell="J24" sqref="J24"/>
    </sheetView>
  </sheetViews>
  <sheetFormatPr defaultColWidth="11.42578125" defaultRowHeight="14.25"/>
  <cols>
    <col min="1" max="1" width="2.7109375" style="5" customWidth="1"/>
    <col min="2" max="2" width="3.7109375" style="3" customWidth="1"/>
    <col min="3" max="3" width="3.28515625" style="6" customWidth="1"/>
    <col min="4" max="4" width="4.28515625" style="5" customWidth="1"/>
    <col min="5" max="5" width="16.42578125" style="13" bestFit="1" customWidth="1"/>
    <col min="6" max="6" width="10" style="5" customWidth="1"/>
    <col min="7" max="7" width="11.7109375" style="5" customWidth="1"/>
    <col min="8" max="8" width="15.7109375" style="13" customWidth="1"/>
    <col min="9" max="9" width="11.85546875" style="5" customWidth="1"/>
    <col min="10" max="10" width="11.7109375" style="5" customWidth="1"/>
    <col min="11" max="11" width="9.7109375" style="5" customWidth="1"/>
    <col min="12" max="12" width="12.5703125" style="5" bestFit="1" customWidth="1"/>
    <col min="13" max="13" width="13.5703125" style="5" bestFit="1" customWidth="1"/>
    <col min="14" max="15" width="12.5703125" style="5" bestFit="1" customWidth="1"/>
    <col min="16" max="16" width="11.85546875" style="5" customWidth="1"/>
    <col min="17" max="17" width="11.85546875" style="5" hidden="1" customWidth="1"/>
    <col min="18" max="18" width="12.5703125" style="5" bestFit="1" customWidth="1"/>
    <col min="19" max="19" width="15.5703125" style="5" bestFit="1" customWidth="1"/>
    <col min="20" max="20" width="11.5703125" style="5" bestFit="1" customWidth="1"/>
    <col min="21" max="21" width="2.42578125" style="5" bestFit="1" customWidth="1"/>
    <col min="22" max="22" width="6.28515625" style="5" bestFit="1" customWidth="1"/>
    <col min="23" max="23" width="13.7109375" style="148" bestFit="1" customWidth="1"/>
    <col min="24" max="24" width="3" style="5" bestFit="1" customWidth="1"/>
    <col min="25" max="25" width="9.28515625" style="5" bestFit="1" customWidth="1"/>
    <col min="26" max="26" width="9.28515625" style="5" customWidth="1"/>
    <col min="27" max="16384" width="11.42578125" style="5"/>
  </cols>
  <sheetData>
    <row r="1" spans="2:27" s="7" customFormat="1" ht="20.25">
      <c r="B1" s="18" t="str">
        <f>Teilnehmer!B1</f>
        <v>20. Fürst von Wrede Rallye 2024</v>
      </c>
      <c r="C1" s="18"/>
      <c r="D1" s="18"/>
      <c r="E1" s="18"/>
      <c r="F1" s="18"/>
      <c r="G1" s="18"/>
      <c r="H1" s="18"/>
      <c r="I1" s="18"/>
      <c r="J1" s="18"/>
      <c r="K1" s="18"/>
      <c r="L1" s="18"/>
      <c r="M1" s="18"/>
      <c r="N1" s="18"/>
      <c r="O1" s="18"/>
      <c r="P1" s="18"/>
      <c r="Q1" s="18"/>
      <c r="R1" s="18"/>
      <c r="S1" s="18"/>
      <c r="W1" s="147"/>
      <c r="Y1" s="62"/>
      <c r="Z1" s="61" t="s">
        <v>312</v>
      </c>
      <c r="AA1" s="101" t="s">
        <v>58</v>
      </c>
    </row>
    <row r="2" spans="2:27" s="7" customFormat="1" ht="14.1" customHeight="1">
      <c r="B2" s="37"/>
      <c r="C2" s="37"/>
      <c r="D2" s="37"/>
      <c r="E2" s="37"/>
      <c r="F2" s="37"/>
      <c r="G2" s="37"/>
      <c r="H2" s="37"/>
      <c r="I2" s="37"/>
      <c r="J2" s="37"/>
      <c r="K2" s="37"/>
      <c r="L2" s="37"/>
      <c r="M2" s="37"/>
      <c r="N2" s="37"/>
      <c r="O2" s="37"/>
      <c r="P2" s="37"/>
      <c r="Q2" s="37"/>
      <c r="R2" s="37"/>
      <c r="S2" s="37"/>
      <c r="W2" s="147"/>
      <c r="X2" s="51" t="s">
        <v>18</v>
      </c>
      <c r="Y2" s="52">
        <f>Teilnehmer!$U$5</f>
        <v>0.2</v>
      </c>
      <c r="Z2" s="53">
        <f>ROUND($L$4*Y2,0.5)</f>
        <v>2</v>
      </c>
    </row>
    <row r="3" spans="2:27" ht="15" customHeight="1">
      <c r="V3" s="335" t="s">
        <v>313</v>
      </c>
      <c r="W3" s="343" t="s">
        <v>314</v>
      </c>
      <c r="X3" s="54" t="s">
        <v>26</v>
      </c>
      <c r="Y3" s="49">
        <f>Teilnehmer!$U$6</f>
        <v>0.25</v>
      </c>
      <c r="Z3" s="55">
        <f>Z2+ROUND($L$4*Y3,0.5)</f>
        <v>4</v>
      </c>
    </row>
    <row r="4" spans="2:27" ht="15.75" customHeight="1">
      <c r="E4" s="8" t="s">
        <v>315</v>
      </c>
      <c r="G4" s="8" t="s">
        <v>328</v>
      </c>
      <c r="H4" s="9" t="s">
        <v>3</v>
      </c>
      <c r="I4" s="10">
        <v>10</v>
      </c>
      <c r="L4" s="11">
        <f>COUNTA(D7:D14)</f>
        <v>8</v>
      </c>
      <c r="M4" s="8" t="s">
        <v>317</v>
      </c>
      <c r="V4" s="335"/>
      <c r="W4" s="343"/>
      <c r="X4" s="56" t="s">
        <v>33</v>
      </c>
      <c r="Y4" s="50">
        <f>Teilnehmer!$U$7</f>
        <v>0.3</v>
      </c>
      <c r="Z4" s="57">
        <f>Z3+ROUND($L$4*Y4,0.5)</f>
        <v>6</v>
      </c>
    </row>
    <row r="5" spans="2:27" ht="15" customHeight="1" thickBot="1">
      <c r="L5" s="15">
        <f>L4-Teilnehmer!P13</f>
        <v>0</v>
      </c>
      <c r="M5" s="15" t="s">
        <v>283</v>
      </c>
      <c r="V5" s="335"/>
      <c r="W5" s="343"/>
      <c r="X5" s="58" t="s">
        <v>39</v>
      </c>
      <c r="Y5" s="59" t="s">
        <v>40</v>
      </c>
      <c r="Z5" s="60"/>
    </row>
    <row r="6" spans="2:27" s="183" customFormat="1" ht="29.25">
      <c r="B6" s="19" t="s">
        <v>318</v>
      </c>
      <c r="C6" s="20" t="s">
        <v>319</v>
      </c>
      <c r="D6" s="21" t="s">
        <v>299</v>
      </c>
      <c r="E6" s="20" t="s">
        <v>4</v>
      </c>
      <c r="F6" s="22" t="s">
        <v>5</v>
      </c>
      <c r="G6" s="20" t="s">
        <v>6</v>
      </c>
      <c r="H6" s="20" t="s">
        <v>7</v>
      </c>
      <c r="I6" s="22" t="s">
        <v>5</v>
      </c>
      <c r="J6" s="20" t="s">
        <v>6</v>
      </c>
      <c r="K6" s="20" t="s">
        <v>8</v>
      </c>
      <c r="L6" s="22" t="s">
        <v>320</v>
      </c>
      <c r="M6" s="22" t="s">
        <v>321</v>
      </c>
      <c r="N6" s="22" t="s">
        <v>322</v>
      </c>
      <c r="O6" s="22" t="s">
        <v>323</v>
      </c>
      <c r="P6" s="22" t="s">
        <v>324</v>
      </c>
      <c r="Q6" s="22" t="s">
        <v>325</v>
      </c>
      <c r="R6" s="236" t="s">
        <v>297</v>
      </c>
      <c r="S6" s="240" t="s">
        <v>326</v>
      </c>
      <c r="T6" s="238" t="s">
        <v>327</v>
      </c>
      <c r="V6" s="335"/>
      <c r="W6" s="343"/>
      <c r="X6" s="204"/>
    </row>
    <row r="7" spans="2:27" s="197" customFormat="1" ht="27.75" customHeight="1">
      <c r="B7" s="188">
        <v>1</v>
      </c>
      <c r="C7" s="190" t="str">
        <f>IF(ISBLANK(D7),"",IF(B7&lt;=$Z$2,"G",IF(AND(B7&gt;$Z$2,B7&lt;=$Z$3),"S",IF(AND(B7&gt;$Z$3,B7&lt;=$Z$4),"B","E"))))</f>
        <v>G</v>
      </c>
      <c r="D7" s="205">
        <v>12</v>
      </c>
      <c r="E7" s="181" t="str">
        <f>IF(ISBLANK($D7),"",VLOOKUP($D7,Teilnehmer!$B$4:$K$199,4,0))</f>
        <v>Ederer Marcus</v>
      </c>
      <c r="F7" s="286" t="str">
        <f>IF(ISBLANK($D7),"",VLOOKUP($D7,Teilnehmer!$B$4:$K$199,5,0))</f>
        <v>-</v>
      </c>
      <c r="G7" s="287" t="str">
        <f>IF(ISBLANK($D7),"",VLOOKUP($D7,Teilnehmer!$B$4:$K$199,6,0))</f>
        <v>MSC Mamming</v>
      </c>
      <c r="H7" s="181" t="str">
        <f>IF(ISBLANK($D7),"",VLOOKUP($D7,Teilnehmer!$B$4:$K$199,7,0))</f>
        <v>Winnik Stella</v>
      </c>
      <c r="I7" s="286" t="str">
        <f>IF(ISBLANK($D7),"",VLOOKUP($D7,Teilnehmer!$B$4:$K$199,8,0))</f>
        <v>.</v>
      </c>
      <c r="J7" s="287" t="str">
        <f>IF(ISBLANK($D7),"",VLOOKUP($D7,Teilnehmer!$B$4:$K$199,9,0))</f>
        <v>MSC Mamming</v>
      </c>
      <c r="K7" s="206" t="str">
        <f>IF(ISBLANK($D7),"",VLOOKUP($D7,Teilnehmer!$B$4:$K$199,10,0))</f>
        <v>BMW M3</v>
      </c>
      <c r="L7" s="207">
        <f>IF(ISBLANK($D7),"",VLOOKUP($D7,'Ausgabe Zeiten'!M:AV,4,0))</f>
        <v>3.3891203703703687E-3</v>
      </c>
      <c r="M7" s="207">
        <f>IF(ISBLANK($D7),"",VLOOKUP($D7,'Ausgabe Zeiten'!M:AV,9,0))</f>
        <v>4.1412037037036331E-3</v>
      </c>
      <c r="N7" s="207">
        <f>IF(ISBLANK($D7),"",VLOOKUP($D7,'Ausgabe Zeiten'!M:AV,14,0))</f>
        <v>3.3884259259259197E-3</v>
      </c>
      <c r="O7" s="207">
        <f>IF(ISBLANK($D7),"",VLOOKUP($D7,'Ausgabe Zeiten'!M:AV,19,0))</f>
        <v>4.103472222222293E-3</v>
      </c>
      <c r="P7" s="207">
        <f>IF(ISBLANK($D7),"",VLOOKUP($D7,'Ausgabe Zeiten'!M:AV,24,0))</f>
        <v>3.3436342592592094E-3</v>
      </c>
      <c r="Q7" s="207">
        <f>IF(ISBLANK($D7),"",VLOOKUP($D7,'Ausgabe Zeiten'!M:AV,29,0))</f>
        <v>0</v>
      </c>
      <c r="R7" s="237">
        <f>IF(ISBLANK($D7),"",VLOOKUP($D7,'Ausgabe Zeiten'!M:AV,35,0))</f>
        <v>0</v>
      </c>
      <c r="S7" s="241">
        <f>IF(ISBLANK($D7),"",VLOOKUP($D7,'Ausgabe Zeiten'!M:AV,36,0))</f>
        <v>1.8365856481481424E-2</v>
      </c>
      <c r="T7" s="239">
        <f>IF(ISBLANK(D7),"",ROUND((23-20*(B7-1)/$L$4),2))</f>
        <v>23</v>
      </c>
      <c r="V7" s="208" t="str">
        <f t="shared" ref="V7:V14" si="0">IF(ISBLANK($D7),"",IF(S7-SUM(L7:R7)=0,"ok","X"))</f>
        <v>ok</v>
      </c>
      <c r="W7" s="198" t="str">
        <f t="shared" ref="W7:W14" si="1">IF(ISBLANK($D7),"",IF(S8&gt;S7,"ok","Sortierung A bis Z"))</f>
        <v>ok</v>
      </c>
      <c r="X7" s="208"/>
    </row>
    <row r="8" spans="2:27" s="197" customFormat="1" ht="27.75" customHeight="1">
      <c r="B8" s="188">
        <f>IF(ISBLANK(D8),"",B7+1)</f>
        <v>2</v>
      </c>
      <c r="C8" s="190" t="str">
        <f>IF(ISBLANK(D8),"",IF(B8&lt;=$Z$2,"G",IF(AND(B8&gt;$Z$2,B8&lt;=$Z$3),"S",IF(AND(B8&gt;$Z$3,B8&lt;=$Z$4),"B","E"))))</f>
        <v>G</v>
      </c>
      <c r="D8" s="205">
        <v>13</v>
      </c>
      <c r="E8" s="181" t="str">
        <f>IF(ISBLANK($D8),"",VLOOKUP($D8,Teilnehmer!$B$4:$K$199,4,0))</f>
        <v>Köhler Fritz</v>
      </c>
      <c r="F8" s="286" t="str">
        <f>IF(ISBLANK($D8),"",VLOOKUP($D8,Teilnehmer!$B$4:$K$199,5,0))</f>
        <v>-</v>
      </c>
      <c r="G8" s="287" t="str">
        <f>IF(ISBLANK($D8),"",VLOOKUP($D8,Teilnehmer!$B$4:$K$199,6,0))</f>
        <v>-</v>
      </c>
      <c r="H8" s="181" t="str">
        <f>IF(ISBLANK($D8),"",VLOOKUP($D8,Teilnehmer!$B$4:$K$199,7,0))</f>
        <v>Hägele Petra</v>
      </c>
      <c r="I8" s="286" t="str">
        <f>IF(ISBLANK($D8),"",VLOOKUP($D8,Teilnehmer!$B$4:$K$199,8,0))</f>
        <v>-</v>
      </c>
      <c r="J8" s="287" t="str">
        <f>IF(ISBLANK($D8),"",VLOOKUP($D8,Teilnehmer!$B$4:$K$199,9,0))</f>
        <v>-</v>
      </c>
      <c r="K8" s="206" t="str">
        <f>IF(ISBLANK($D8),"",VLOOKUP($D8,Teilnehmer!$B$4:$K$199,10,0))</f>
        <v>BMW M3 e30</v>
      </c>
      <c r="L8" s="207">
        <f>IF(ISBLANK($D8),"",VLOOKUP($D8,'Ausgabe Zeiten'!M:AV,4,0))</f>
        <v>3.4377314814814652E-3</v>
      </c>
      <c r="M8" s="207">
        <f>IF(ISBLANK($D8),"",VLOOKUP($D8,'Ausgabe Zeiten'!M:AV,9,0))</f>
        <v>4.349537037036999E-3</v>
      </c>
      <c r="N8" s="207">
        <f>IF(ISBLANK($D8),"",VLOOKUP($D8,'Ausgabe Zeiten'!M:AV,14,0))</f>
        <v>3.4093749999999368E-3</v>
      </c>
      <c r="O8" s="207">
        <f>IF(ISBLANK($D8),"",VLOOKUP($D8,'Ausgabe Zeiten'!M:AV,19,0))</f>
        <v>4.1009259259259245E-3</v>
      </c>
      <c r="P8" s="207">
        <f>IF(ISBLANK($D8),"",VLOOKUP($D8,'Ausgabe Zeiten'!M:AV,24,0))</f>
        <v>3.3540509259259998E-3</v>
      </c>
      <c r="Q8" s="207">
        <f>IF(ISBLANK($D8),"",VLOOKUP($D8,'Ausgabe Zeiten'!M:AV,29,0))</f>
        <v>0</v>
      </c>
      <c r="R8" s="237">
        <f>IF(ISBLANK($D8),"",VLOOKUP($D8,'Ausgabe Zeiten'!M:AV,35,0))</f>
        <v>3.4722222222222224E-4</v>
      </c>
      <c r="S8" s="241">
        <f>IF(ISBLANK($D8),"",VLOOKUP($D8,'Ausgabe Zeiten'!M:AV,36,0))</f>
        <v>1.8998842592592546E-2</v>
      </c>
      <c r="T8" s="239">
        <f t="shared" ref="T8:T10" si="2">IF(ISBLANK(D8),"",ROUND((23-20*(B8-1)/$L$4),2))</f>
        <v>20.5</v>
      </c>
      <c r="V8" s="208" t="str">
        <f t="shared" si="0"/>
        <v>ok</v>
      </c>
      <c r="W8" s="198" t="str">
        <f t="shared" si="1"/>
        <v>ok</v>
      </c>
      <c r="X8" s="208"/>
    </row>
    <row r="9" spans="2:27" s="197" customFormat="1" ht="27.75" customHeight="1">
      <c r="B9" s="188">
        <f t="shared" ref="B9:B14" si="3">IF(ISBLANK(D9),"",B8+1)</f>
        <v>3</v>
      </c>
      <c r="C9" s="190" t="str">
        <f>IF(ISBLANK(D9),"",IF(B9&lt;=$Z$2,"G",IF(AND(B9&gt;$Z$2,B9&lt;=$Z$3),"S",IF(AND(B9&gt;$Z$3,B9&lt;=$Z$4),"B","E"))))</f>
        <v>S</v>
      </c>
      <c r="D9" s="205">
        <v>16</v>
      </c>
      <c r="E9" s="181" t="str">
        <f>IF(ISBLANK($D9),"",VLOOKUP($D9,Teilnehmer!$B$4:$K$199,4,0))</f>
        <v>Schad Carsten</v>
      </c>
      <c r="F9" s="286" t="str">
        <f>IF(ISBLANK($D9),"",VLOOKUP($D9,Teilnehmer!$B$4:$K$199,5,0))</f>
        <v>-</v>
      </c>
      <c r="G9" s="287" t="str">
        <f>IF(ISBLANK($D9),"",VLOOKUP($D9,Teilnehmer!$B$4:$K$199,6,0))</f>
        <v>AMC Bad Königshofen</v>
      </c>
      <c r="H9" s="181" t="str">
        <f>IF(ISBLANK($D9),"",VLOOKUP($D9,Teilnehmer!$B$4:$K$199,7,0))</f>
        <v>Schad Alicia</v>
      </c>
      <c r="I9" s="286" t="str">
        <f>IF(ISBLANK($D9),"",VLOOKUP($D9,Teilnehmer!$B$4:$K$199,8,0))</f>
        <v>-</v>
      </c>
      <c r="J9" s="287" t="str">
        <f>IF(ISBLANK($D9),"",VLOOKUP($D9,Teilnehmer!$B$4:$K$199,9,0))</f>
        <v>AMC Bad Königshofen</v>
      </c>
      <c r="K9" s="206" t="str">
        <f>IF(ISBLANK($D9),"",VLOOKUP($D9,Teilnehmer!$B$4:$K$199,10,0))</f>
        <v>BMW M3 e36</v>
      </c>
      <c r="L9" s="207">
        <f>IF(ISBLANK($D9),"",VLOOKUP($D9,'Ausgabe Zeiten'!M:AV,4,0))</f>
        <v>4.1206018518518128E-3</v>
      </c>
      <c r="M9" s="207">
        <f>IF(ISBLANK($D9),"",VLOOKUP($D9,'Ausgabe Zeiten'!M:AV,9,0))</f>
        <v>5.0940972222222047E-3</v>
      </c>
      <c r="N9" s="207">
        <f>IF(ISBLANK($D9),"",VLOOKUP($D9,'Ausgabe Zeiten'!M:AV,14,0))</f>
        <v>3.9457175925925458E-3</v>
      </c>
      <c r="O9" s="207">
        <f>IF(ISBLANK($D9),"",VLOOKUP($D9,'Ausgabe Zeiten'!M:AV,19,0))</f>
        <v>4.6989583333333362E-3</v>
      </c>
      <c r="P9" s="207">
        <f>IF(ISBLANK($D9),"",VLOOKUP($D9,'Ausgabe Zeiten'!M:AV,24,0))</f>
        <v>4.0012731481481323E-3</v>
      </c>
      <c r="Q9" s="207">
        <f>IF(ISBLANK($D9),"",VLOOKUP($D9,'Ausgabe Zeiten'!M:AV,29,0))</f>
        <v>0</v>
      </c>
      <c r="R9" s="237">
        <f>IF(ISBLANK($D9),"",VLOOKUP($D9,'Ausgabe Zeiten'!M:AV,35,0))</f>
        <v>0</v>
      </c>
      <c r="S9" s="241">
        <f>IF(ISBLANK($D9),"",VLOOKUP($D9,'Ausgabe Zeiten'!M:AV,36,0))</f>
        <v>2.1860648148148032E-2</v>
      </c>
      <c r="T9" s="239">
        <f t="shared" si="2"/>
        <v>18</v>
      </c>
      <c r="V9" s="208" t="str">
        <f t="shared" si="0"/>
        <v>ok</v>
      </c>
      <c r="W9" s="198" t="str">
        <f t="shared" si="1"/>
        <v>ok</v>
      </c>
      <c r="X9" s="208"/>
    </row>
    <row r="10" spans="2:27" s="197" customFormat="1" ht="27.75" customHeight="1">
      <c r="B10" s="188">
        <f t="shared" si="3"/>
        <v>4</v>
      </c>
      <c r="C10" s="190" t="str">
        <f>IF(ISBLANK(D10),"",IF(B10&lt;=$Z$2,"G",IF(AND(B10&gt;$Z$2,B10&lt;=$Z$3),"S",IF(AND(B10&gt;$Z$3,B10&lt;=$Z$4),"B","E"))))</f>
        <v>S</v>
      </c>
      <c r="D10" s="205">
        <v>15</v>
      </c>
      <c r="E10" s="181" t="str">
        <f>IF(ISBLANK($D10),"",VLOOKUP($D10,Teilnehmer!$B$4:$K$199,4,0))</f>
        <v>Oest Marc</v>
      </c>
      <c r="F10" s="286" t="str">
        <f>IF(ISBLANK($D10),"",VLOOKUP($D10,Teilnehmer!$B$4:$K$199,5,0))</f>
        <v>-</v>
      </c>
      <c r="G10" s="287" t="str">
        <f>IF(ISBLANK($D10),"",VLOOKUP($D10,Teilnehmer!$B$4:$K$199,6,0))</f>
        <v>MSC Ramberg</v>
      </c>
      <c r="H10" s="181" t="str">
        <f>IF(ISBLANK($D10),"",VLOOKUP($D10,Teilnehmer!$B$4:$K$199,7,0))</f>
        <v>Oest Thomas</v>
      </c>
      <c r="I10" s="286" t="str">
        <f>IF(ISBLANK($D10),"",VLOOKUP($D10,Teilnehmer!$B$4:$K$199,8,0))</f>
        <v>-</v>
      </c>
      <c r="J10" s="287" t="str">
        <f>IF(ISBLANK($D10),"",VLOOKUP($D10,Teilnehmer!$B$4:$K$199,9,0))</f>
        <v>MSC Ramberg</v>
      </c>
      <c r="K10" s="206" t="str">
        <f>IF(ISBLANK($D10),"",VLOOKUP($D10,Teilnehmer!$B$4:$K$199,10,0))</f>
        <v>BMW 540i</v>
      </c>
      <c r="L10" s="207">
        <f>IF(ISBLANK($D10),"",VLOOKUP($D10,'Ausgabe Zeiten'!M:AV,4,0))</f>
        <v>3.7410879629630189E-3</v>
      </c>
      <c r="M10" s="207">
        <f>IF(ISBLANK($D10),"",VLOOKUP($D10,'Ausgabe Zeiten'!M:AV,9,0))</f>
        <v>5.8980324074073831E-3</v>
      </c>
      <c r="N10" s="207">
        <f>IF(ISBLANK($D10),"",VLOOKUP($D10,'Ausgabe Zeiten'!M:AV,14,0))</f>
        <v>4.0291666666665282E-3</v>
      </c>
      <c r="O10" s="207">
        <f>IF(ISBLANK($D10),"",VLOOKUP($D10,'Ausgabe Zeiten'!M:AV,19,0))</f>
        <v>4.3354166666665916E-3</v>
      </c>
      <c r="P10" s="207">
        <f>IF(ISBLANK($D10),"",VLOOKUP($D10,'Ausgabe Zeiten'!M:AV,24,0))</f>
        <v>3.8998842592592453E-3</v>
      </c>
      <c r="Q10" s="207">
        <f>IF(ISBLANK($D10),"",VLOOKUP($D10,'Ausgabe Zeiten'!M:AV,29,0))</f>
        <v>0</v>
      </c>
      <c r="R10" s="237">
        <f>IF(ISBLANK($D10),"",VLOOKUP($D10,'Ausgabe Zeiten'!M:AV,35,0))</f>
        <v>0</v>
      </c>
      <c r="S10" s="241">
        <f>IF(ISBLANK($D10),"",VLOOKUP($D10,'Ausgabe Zeiten'!M:AV,36,0))</f>
        <v>2.1903587962962767E-2</v>
      </c>
      <c r="T10" s="239">
        <f t="shared" si="2"/>
        <v>15.5</v>
      </c>
      <c r="V10" s="208" t="str">
        <f t="shared" si="0"/>
        <v>ok</v>
      </c>
      <c r="W10" s="198" t="str">
        <f t="shared" si="1"/>
        <v>ok</v>
      </c>
      <c r="X10" s="208"/>
    </row>
    <row r="11" spans="2:27" s="197" customFormat="1" ht="27.75" customHeight="1">
      <c r="B11" s="188">
        <f t="shared" si="3"/>
        <v>5</v>
      </c>
      <c r="C11" s="190" t="str">
        <f>IF(ISBLANK(D11),"",IF(B11&lt;=$Z$2,"G",IF(AND(B11&gt;$Z$2,B11&lt;=$Z$3),"S",IF(AND(B11&gt;$Z$3,B11&lt;=$Z$4),"B","E"))))</f>
        <v>B</v>
      </c>
      <c r="D11" s="205">
        <v>17</v>
      </c>
      <c r="E11" s="181" t="str">
        <f>IF(ISBLANK($D11),"",VLOOKUP($D11,Teilnehmer!$B$4:$K$199,4,0))</f>
        <v>Müller Werner</v>
      </c>
      <c r="F11" s="286" t="str">
        <f>IF(ISBLANK($D11),"",VLOOKUP($D11,Teilnehmer!$B$4:$K$199,5,0))</f>
        <v>-</v>
      </c>
      <c r="G11" s="287" t="str">
        <f>IF(ISBLANK($D11),"",VLOOKUP($D11,Teilnehmer!$B$4:$K$199,6,0))</f>
        <v>MSC Emmersdorf</v>
      </c>
      <c r="H11" s="181" t="str">
        <f>IF(ISBLANK($D11),"",VLOOKUP($D11,Teilnehmer!$B$4:$K$199,7,0))</f>
        <v>Trabs Jasmin</v>
      </c>
      <c r="I11" s="286" t="str">
        <f>IF(ISBLANK($D11),"",VLOOKUP($D11,Teilnehmer!$B$4:$K$199,8,0))</f>
        <v>-</v>
      </c>
      <c r="J11" s="287" t="str">
        <f>IF(ISBLANK($D11),"",VLOOKUP($D11,Teilnehmer!$B$4:$K$199,9,0))</f>
        <v>MSC Emmersdorf</v>
      </c>
      <c r="K11" s="206" t="str">
        <f>IF(ISBLANK($D11),"",VLOOKUP($D11,Teilnehmer!$B$4:$K$199,10,0))</f>
        <v>BMW BMW M3</v>
      </c>
      <c r="L11" s="207">
        <f>IF(ISBLANK($D11),"",VLOOKUP($D11,'Ausgabe Zeiten'!M:AV,4,0))</f>
        <v>7.2086805555554578E-3</v>
      </c>
      <c r="M11" s="207">
        <f>IF(ISBLANK($D11),"",VLOOKUP($D11,'Ausgabe Zeiten'!M:AV,9,0))</f>
        <v>4.1418981481481376E-3</v>
      </c>
      <c r="N11" s="207">
        <f>IF(ISBLANK($D11),"",VLOOKUP($D11,'Ausgabe Zeiten'!M:AV,14,0))</f>
        <v>3.5158564814814497E-3</v>
      </c>
      <c r="O11" s="207">
        <f>IF(ISBLANK($D11),"",VLOOKUP($D11,'Ausgabe Zeiten'!M:AV,19,0))</f>
        <v>4.182060185185188E-3</v>
      </c>
      <c r="P11" s="207">
        <f>IF(ISBLANK($D11),"",VLOOKUP($D11,'Ausgabe Zeiten'!M:AV,24,0))</f>
        <v>3.5513888888888401E-3</v>
      </c>
      <c r="Q11" s="207">
        <f>IF(ISBLANK($D11),"",VLOOKUP($D11,'Ausgabe Zeiten'!M:AV,29,0))</f>
        <v>0</v>
      </c>
      <c r="R11" s="237">
        <f>IF(ISBLANK($D11),"",VLOOKUP($D11,'Ausgabe Zeiten'!M:AV,35,0))</f>
        <v>0</v>
      </c>
      <c r="S11" s="241">
        <f>IF(ISBLANK($D11),"",VLOOKUP($D11,'Ausgabe Zeiten'!M:AV,36,0))</f>
        <v>2.2599884259259073E-2</v>
      </c>
      <c r="T11" s="239">
        <f t="shared" ref="T11:T14" si="4">IF(ISBLANK(D11),"",ROUND((23-20*(B11-1)/$L$4),2))</f>
        <v>13</v>
      </c>
      <c r="V11" s="208" t="str">
        <f t="shared" si="0"/>
        <v>ok</v>
      </c>
      <c r="W11" s="198" t="str">
        <f t="shared" si="1"/>
        <v>ok</v>
      </c>
      <c r="X11" s="208"/>
    </row>
    <row r="12" spans="2:27" s="197" customFormat="1" ht="27.75" customHeight="1">
      <c r="B12" s="188">
        <f t="shared" si="3"/>
        <v>6</v>
      </c>
      <c r="C12" s="190" t="str">
        <f>IF(ISBLANK(D12),"",IF(B12&lt;=$Z$2,"G",IF(AND(B12&gt;$Z$2,B12&lt;=$Z$3),"S",IF(AND(B12&gt;$Z$3,B12&lt;=$Z$4),"B","E"))))</f>
        <v>B</v>
      </c>
      <c r="D12" s="205">
        <v>19</v>
      </c>
      <c r="E12" s="181" t="str">
        <f>IF(ISBLANK($D12),"",VLOOKUP($D12,Teilnehmer!$B$4:$K$199,4,0))</f>
        <v>Stangl Mathias</v>
      </c>
      <c r="F12" s="286">
        <f>IF(ISBLANK($D12),"",VLOOKUP($D12,Teilnehmer!$B$4:$K$199,5,0))</f>
        <v>16636</v>
      </c>
      <c r="G12" s="287" t="str">
        <f>IF(ISBLANK($D12),"",VLOOKUP($D12,Teilnehmer!$B$4:$K$199,6,0))</f>
        <v>-</v>
      </c>
      <c r="H12" s="181" t="str">
        <f>IF(ISBLANK($D12),"",VLOOKUP($D12,Teilnehmer!$B$4:$K$199,7,0))</f>
        <v>Stangl Michael</v>
      </c>
      <c r="I12" s="286">
        <f>IF(ISBLANK($D12),"",VLOOKUP($D12,Teilnehmer!$B$4:$K$199,8,0))</f>
        <v>16635</v>
      </c>
      <c r="J12" s="287" t="str">
        <f>IF(ISBLANK($D12),"",VLOOKUP($D12,Teilnehmer!$B$4:$K$199,9,0))</f>
        <v>-</v>
      </c>
      <c r="K12" s="206" t="str">
        <f>IF(ISBLANK($D12),"",VLOOKUP($D12,Teilnehmer!$B$4:$K$199,10,0))</f>
        <v>BMW 320I (e36)</v>
      </c>
      <c r="L12" s="207">
        <f>IF(ISBLANK($D12),"",VLOOKUP($D12,'Ausgabe Zeiten'!M:AV,4,0))</f>
        <v>4.1173611111111619E-3</v>
      </c>
      <c r="M12" s="207">
        <f>IF(ISBLANK($D12),"",VLOOKUP($D12,'Ausgabe Zeiten'!M:AV,9,0))</f>
        <v>4.7429398148147728E-3</v>
      </c>
      <c r="N12" s="207">
        <f>IF(ISBLANK($D12),"",VLOOKUP($D12,'Ausgabe Zeiten'!M:AV,14,0))</f>
        <v>4.0511574074073575E-3</v>
      </c>
      <c r="O12" s="207">
        <f>IF(ISBLANK($D12),"",VLOOKUP($D12,'Ausgabe Zeiten'!M:AV,19,0))</f>
        <v>1.0416666666666666E-2</v>
      </c>
      <c r="P12" s="207">
        <f>IF(ISBLANK($D12),"",VLOOKUP($D12,'Ausgabe Zeiten'!M:AV,24,0))</f>
        <v>5.6190972222222024E-3</v>
      </c>
      <c r="Q12" s="207">
        <f>IF(ISBLANK($D12),"",VLOOKUP($D12,'Ausgabe Zeiten'!M:AV,29,0))</f>
        <v>0</v>
      </c>
      <c r="R12" s="237">
        <f>IF(ISBLANK($D12),"",VLOOKUP($D12,'Ausgabe Zeiten'!M:AV,35,0))</f>
        <v>6.9444444444444447E-4</v>
      </c>
      <c r="S12" s="241">
        <f>IF(ISBLANK($D12),"",VLOOKUP($D12,'Ausgabe Zeiten'!M:AV,36,0))</f>
        <v>2.9641666666666604E-2</v>
      </c>
      <c r="T12" s="239">
        <f t="shared" si="4"/>
        <v>10.5</v>
      </c>
      <c r="V12" s="208" t="str">
        <f t="shared" si="0"/>
        <v>ok</v>
      </c>
      <c r="W12" s="198" t="str">
        <f t="shared" si="1"/>
        <v>ok</v>
      </c>
      <c r="X12" s="208"/>
    </row>
    <row r="13" spans="2:27" s="197" customFormat="1" ht="27.75" customHeight="1">
      <c r="B13" s="188">
        <f t="shared" si="3"/>
        <v>7</v>
      </c>
      <c r="C13" s="190" t="str">
        <f>IF(ISBLANK(D13),"",IF(B13&lt;=$Z$2,"G",IF(AND(B13&gt;$Z$2,B13&lt;=$Z$3),"S",IF(AND(B13&gt;$Z$3,B13&lt;=$Z$4),"B","E"))))</f>
        <v>E</v>
      </c>
      <c r="D13" s="205">
        <v>11</v>
      </c>
      <c r="E13" s="181" t="str">
        <f>IF(ISBLANK($D13),"",VLOOKUP($D13,Teilnehmer!$B$4:$K$199,4,0))</f>
        <v>Wundsam Sebastian</v>
      </c>
      <c r="F13" s="286">
        <f>IF(ISBLANK($D13),"",VLOOKUP($D13,Teilnehmer!$B$4:$K$199,5,0))</f>
        <v>14309</v>
      </c>
      <c r="G13" s="287" t="str">
        <f>IF(ISBLANK($D13),"",VLOOKUP($D13,Teilnehmer!$B$4:$K$199,6,0))</f>
        <v>SWF Weidwies</v>
      </c>
      <c r="H13" s="181" t="str">
        <f>IF(ISBLANK($D13),"",VLOOKUP($D13,Teilnehmer!$B$4:$K$199,7,0))</f>
        <v>Summer Sebastian</v>
      </c>
      <c r="I13" s="286">
        <f>IF(ISBLANK($D13),"",VLOOKUP($D13,Teilnehmer!$B$4:$K$199,8,0))</f>
        <v>16294</v>
      </c>
      <c r="J13" s="287" t="str">
        <f>IF(ISBLANK($D13),"",VLOOKUP($D13,Teilnehmer!$B$4:$K$199,9,0))</f>
        <v>SWF Weidwies</v>
      </c>
      <c r="K13" s="206" t="str">
        <f>IF(ISBLANK($D13),"",VLOOKUP($D13,Teilnehmer!$B$4:$K$199,10,0))</f>
        <v>BMW E36 M3</v>
      </c>
      <c r="L13" s="207">
        <f>IF(ISBLANK($D13),"",VLOOKUP($D13,'Ausgabe Zeiten'!M:AV,4,0))</f>
        <v>3.9358796296296017E-3</v>
      </c>
      <c r="M13" s="207">
        <f>IF(ISBLANK($D13),"",VLOOKUP($D13,'Ausgabe Zeiten'!M:AV,9,0))</f>
        <v>4.2859953703703879E-3</v>
      </c>
      <c r="N13" s="207">
        <f>IF(ISBLANK($D13),"",VLOOKUP($D13,'Ausgabe Zeiten'!M:AV,14,0))</f>
        <v>3.8762731481482016E-3</v>
      </c>
      <c r="O13" s="207">
        <f>IF(ISBLANK($D13),"",VLOOKUP($D13,'Ausgabe Zeiten'!M:AV,19,0))</f>
        <v>1.0416666666666666E-2</v>
      </c>
      <c r="P13" s="207" t="str">
        <f>IF(ISBLANK($D13),"",VLOOKUP($D13,'Ausgabe Zeiten'!M:AV,24,0))</f>
        <v>ADW</v>
      </c>
      <c r="Q13" s="207">
        <f>IF(ISBLANK($D13),"",VLOOKUP($D13,'Ausgabe Zeiten'!M:AV,29,0))</f>
        <v>0</v>
      </c>
      <c r="R13" s="237">
        <f>IF(ISBLANK($D13),"",VLOOKUP($D13,'Ausgabe Zeiten'!M:AV,35,0))</f>
        <v>0</v>
      </c>
      <c r="S13" s="241" t="str">
        <f>IF(ISBLANK($D13),"",VLOOKUP($D13,'Ausgabe Zeiten'!M:AV,36,0))</f>
        <v>ADW</v>
      </c>
      <c r="T13" s="239">
        <v>0</v>
      </c>
      <c r="V13" s="208" t="e">
        <f t="shared" si="0"/>
        <v>#VALUE!</v>
      </c>
      <c r="W13" s="198" t="str">
        <f t="shared" si="1"/>
        <v>Sortierung A bis Z</v>
      </c>
      <c r="X13" s="208"/>
    </row>
    <row r="14" spans="2:27" s="197" customFormat="1" ht="27.75" customHeight="1">
      <c r="B14" s="188">
        <f t="shared" si="3"/>
        <v>8</v>
      </c>
      <c r="C14" s="190" t="str">
        <f>IF(ISBLANK(D14),"",IF(B14&lt;=$Z$2,"G",IF(AND(B14&gt;$Z$2,B14&lt;=$Z$3),"S",IF(AND(B14&gt;$Z$3,B14&lt;=$Z$4),"B","E"))))</f>
        <v>E</v>
      </c>
      <c r="D14" s="205">
        <v>18</v>
      </c>
      <c r="E14" s="181" t="str">
        <f>IF(ISBLANK($D14),"",VLOOKUP($D14,Teilnehmer!$B$4:$K$199,4,0))</f>
        <v>Haselbeck Maximilian</v>
      </c>
      <c r="F14" s="286" t="str">
        <f>IF(ISBLANK($D14),"",VLOOKUP($D14,Teilnehmer!$B$4:$K$199,5,0))</f>
        <v>-</v>
      </c>
      <c r="G14" s="287" t="str">
        <f>IF(ISBLANK($D14),"",VLOOKUP($D14,Teilnehmer!$B$4:$K$199,6,0))</f>
        <v>-</v>
      </c>
      <c r="H14" s="181" t="str">
        <f>IF(ISBLANK($D14),"",VLOOKUP($D14,Teilnehmer!$B$4:$K$199,7,0))</f>
        <v>Haselbeck Alexander</v>
      </c>
      <c r="I14" s="286" t="str">
        <f>IF(ISBLANK($D14),"",VLOOKUP($D14,Teilnehmer!$B$4:$K$199,8,0))</f>
        <v>-</v>
      </c>
      <c r="J14" s="287" t="str">
        <f>IF(ISBLANK($D14),"",VLOOKUP($D14,Teilnehmer!$B$4:$K$199,9,0))</f>
        <v>-</v>
      </c>
      <c r="K14" s="206" t="str">
        <f>IF(ISBLANK($D14),"",VLOOKUP($D14,Teilnehmer!$B$4:$K$199,10,0))</f>
        <v>BMW 328i</v>
      </c>
      <c r="L14" s="207">
        <f>IF(ISBLANK($D14),"",VLOOKUP($D14,'Ausgabe Zeiten'!M:AV,4,0))</f>
        <v>3.6748842592592701E-3</v>
      </c>
      <c r="M14" s="207">
        <f>IF(ISBLANK($D14),"",VLOOKUP($D14,'Ausgabe Zeiten'!M:AV,9,0))</f>
        <v>4.3908564814814088E-3</v>
      </c>
      <c r="N14" s="207">
        <f>IF(ISBLANK($D14),"",VLOOKUP($D14,'Ausgabe Zeiten'!M:AV,14,0))</f>
        <v>1.0416666666666666E-2</v>
      </c>
      <c r="O14" s="207" t="str">
        <f>IF(ISBLANK($D14),"",VLOOKUP($D14,'Ausgabe Zeiten'!M:AV,19,0))</f>
        <v>ADW</v>
      </c>
      <c r="P14" s="207" t="str">
        <f>IF(ISBLANK($D14),"",VLOOKUP($D14,'Ausgabe Zeiten'!M:AV,24,0))</f>
        <v>ADW</v>
      </c>
      <c r="Q14" s="207">
        <f>IF(ISBLANK($D14),"",VLOOKUP($D14,'Ausgabe Zeiten'!M:AV,29,0))</f>
        <v>0</v>
      </c>
      <c r="R14" s="237">
        <f>IF(ISBLANK($D14),"",VLOOKUP($D14,'Ausgabe Zeiten'!M:AV,35,0))</f>
        <v>0</v>
      </c>
      <c r="S14" s="241" t="str">
        <f>IF(ISBLANK($D14),"",VLOOKUP($D14,'Ausgabe Zeiten'!M:AV,36,0))</f>
        <v>ADW</v>
      </c>
      <c r="T14" s="239">
        <v>0</v>
      </c>
      <c r="V14" s="208" t="e">
        <f t="shared" si="0"/>
        <v>#VALUE!</v>
      </c>
      <c r="W14" s="198" t="str">
        <f t="shared" si="1"/>
        <v>Sortierung A bis Z</v>
      </c>
      <c r="X14" s="208"/>
    </row>
    <row r="15" spans="2:27" s="197" customFormat="1">
      <c r="B15" s="209"/>
      <c r="C15" s="210"/>
      <c r="W15" s="211"/>
    </row>
    <row r="16" spans="2:27" s="197" customFormat="1">
      <c r="B16" s="209"/>
      <c r="C16" s="210"/>
      <c r="W16" s="211"/>
    </row>
    <row r="17" spans="2:23" s="197" customFormat="1">
      <c r="B17" s="209"/>
      <c r="C17" s="210"/>
      <c r="W17" s="211"/>
    </row>
    <row r="18" spans="2:23" s="197" customFormat="1">
      <c r="B18" s="209"/>
      <c r="C18" s="210"/>
      <c r="W18" s="211"/>
    </row>
    <row r="19" spans="2:23" s="197" customFormat="1">
      <c r="B19" s="209"/>
      <c r="C19" s="210"/>
      <c r="W19" s="211"/>
    </row>
    <row r="20" spans="2:23" s="197" customFormat="1">
      <c r="B20" s="209"/>
      <c r="C20" s="210"/>
      <c r="W20" s="211"/>
    </row>
    <row r="21" spans="2:23" s="197" customFormat="1">
      <c r="B21" s="209"/>
      <c r="C21" s="210"/>
      <c r="W21" s="211"/>
    </row>
    <row r="22" spans="2:23" s="197" customFormat="1">
      <c r="B22" s="209"/>
      <c r="C22" s="210"/>
      <c r="W22" s="211"/>
    </row>
    <row r="23" spans="2:23" s="197" customFormat="1">
      <c r="B23" s="209"/>
      <c r="C23" s="210"/>
      <c r="W23" s="211"/>
    </row>
    <row r="24" spans="2:23" s="13" customFormat="1">
      <c r="B24" s="12"/>
      <c r="C24" s="14"/>
      <c r="W24" s="149"/>
    </row>
    <row r="25" spans="2:23" s="13" customFormat="1">
      <c r="B25" s="12"/>
      <c r="C25" s="14"/>
      <c r="W25" s="149"/>
    </row>
    <row r="26" spans="2:23" s="13" customFormat="1">
      <c r="B26" s="12"/>
      <c r="C26" s="14"/>
      <c r="W26" s="149"/>
    </row>
    <row r="27" spans="2:23" s="13" customFormat="1">
      <c r="B27" s="12"/>
      <c r="C27" s="14"/>
      <c r="W27" s="149"/>
    </row>
    <row r="28" spans="2:23" s="13" customFormat="1">
      <c r="B28" s="12"/>
      <c r="C28" s="14"/>
      <c r="W28" s="149"/>
    </row>
    <row r="29" spans="2:23" s="13" customFormat="1">
      <c r="B29" s="12"/>
      <c r="C29" s="14"/>
      <c r="W29" s="149"/>
    </row>
    <row r="30" spans="2:23" s="13" customFormat="1">
      <c r="B30" s="12"/>
      <c r="C30" s="14"/>
      <c r="W30" s="149"/>
    </row>
    <row r="31" spans="2:23" s="13" customFormat="1">
      <c r="B31" s="12"/>
      <c r="C31" s="14"/>
      <c r="W31" s="149"/>
    </row>
    <row r="32" spans="2:23" s="13" customFormat="1">
      <c r="B32" s="12"/>
      <c r="C32" s="14"/>
      <c r="W32" s="149"/>
    </row>
    <row r="33" spans="2:23" s="13" customFormat="1">
      <c r="B33" s="12"/>
      <c r="C33" s="14"/>
      <c r="W33" s="149"/>
    </row>
    <row r="34" spans="2:23" s="13" customFormat="1">
      <c r="B34" s="12"/>
      <c r="C34" s="14"/>
      <c r="W34" s="149"/>
    </row>
    <row r="35" spans="2:23" s="13" customFormat="1">
      <c r="B35" s="12"/>
      <c r="C35" s="14"/>
      <c r="W35" s="149"/>
    </row>
    <row r="36" spans="2:23" s="13" customFormat="1">
      <c r="B36" s="12"/>
      <c r="C36" s="14"/>
      <c r="W36" s="149"/>
    </row>
    <row r="37" spans="2:23" s="13" customFormat="1">
      <c r="B37" s="12"/>
      <c r="C37" s="14"/>
      <c r="W37" s="149"/>
    </row>
  </sheetData>
  <autoFilter ref="C6:S6" xr:uid="{7B828EDB-901C-404C-98B5-E64A905CC40B}">
    <sortState xmlns:xlrd2="http://schemas.microsoft.com/office/spreadsheetml/2017/richdata2" ref="C7:S14">
      <sortCondition ref="S6"/>
    </sortState>
  </autoFilter>
  <mergeCells count="2">
    <mergeCell ref="V3:V6"/>
    <mergeCell ref="W3:W6"/>
  </mergeCells>
  <conditionalFormatting sqref="L5">
    <cfRule type="cellIs" dxfId="38" priority="2" operator="lessThan">
      <formula>0</formula>
    </cfRule>
    <cfRule type="cellIs" dxfId="37" priority="3" operator="greaterThan">
      <formula>0</formula>
    </cfRule>
  </conditionalFormatting>
  <conditionalFormatting sqref="V1:V3 V7:V1048576">
    <cfRule type="cellIs" dxfId="36" priority="5" operator="equal">
      <formula>"X"</formula>
    </cfRule>
  </conditionalFormatting>
  <conditionalFormatting sqref="W1:W3 W7:W1048576">
    <cfRule type="cellIs" dxfId="35" priority="4" operator="equal">
      <formula>"Sortierung A bis Z"</formula>
    </cfRule>
  </conditionalFormatting>
  <conditionalFormatting sqref="D7:D14">
    <cfRule type="duplicateValues" dxfId="34" priority="1424"/>
  </conditionalFormatting>
  <pageMargins left="0.70866141732283472" right="0.70866141732283472" top="0.78740157480314965" bottom="0.78740157480314965" header="0.31496062992125984" footer="0.31496062992125984"/>
  <pageSetup paperSize="9" scale="61"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4ACDA-5FA2-4D92-BF03-7368A351F6AF}">
  <sheetPr>
    <tabColor theme="7"/>
    <pageSetUpPr fitToPage="1"/>
  </sheetPr>
  <dimension ref="B1:AA36"/>
  <sheetViews>
    <sheetView showGridLines="0" zoomScaleNormal="100" zoomScaleSheetLayoutView="115" workbookViewId="0">
      <pane xSplit="5" ySplit="6" topLeftCell="F7" activePane="bottomRight" state="frozen"/>
      <selection pane="bottomRight" activeCell="B1" sqref="B1:T17"/>
      <selection pane="bottomLeft" activeCell="J24" sqref="J24"/>
      <selection pane="topRight" activeCell="J24" sqref="J24"/>
    </sheetView>
  </sheetViews>
  <sheetFormatPr defaultColWidth="11.42578125" defaultRowHeight="14.25"/>
  <cols>
    <col min="1" max="1" width="2.7109375" style="5" customWidth="1"/>
    <col min="2" max="2" width="3.7109375" style="3" customWidth="1"/>
    <col min="3" max="3" width="3.28515625" style="6" customWidth="1"/>
    <col min="4" max="4" width="4.28515625" style="5" customWidth="1"/>
    <col min="5" max="5" width="16.42578125" style="13" bestFit="1" customWidth="1"/>
    <col min="6" max="6" width="6.7109375" style="5" customWidth="1"/>
    <col min="7" max="7" width="11.7109375" style="5" customWidth="1"/>
    <col min="8" max="8" width="15.7109375" style="13" customWidth="1"/>
    <col min="9" max="9" width="6.7109375" style="5" customWidth="1"/>
    <col min="10" max="10" width="11.7109375" style="5" customWidth="1"/>
    <col min="11" max="11" width="9.7109375" style="5" customWidth="1"/>
    <col min="12" max="12" width="12.28515625" style="5" bestFit="1" customWidth="1"/>
    <col min="13" max="13" width="13.5703125" style="5" bestFit="1" customWidth="1"/>
    <col min="14" max="14" width="12.28515625" style="5" bestFit="1" customWidth="1"/>
    <col min="15" max="15" width="12.5703125" style="5" bestFit="1" customWidth="1"/>
    <col min="16" max="16" width="11.85546875" style="5" customWidth="1"/>
    <col min="17" max="17" width="11.85546875" style="5" hidden="1" customWidth="1"/>
    <col min="18" max="18" width="12.5703125" style="5" bestFit="1" customWidth="1"/>
    <col min="19" max="19" width="15.5703125" style="5" bestFit="1" customWidth="1"/>
    <col min="20" max="20" width="11.5703125" style="5" bestFit="1" customWidth="1"/>
    <col min="21" max="21" width="2.42578125" style="5" bestFit="1" customWidth="1"/>
    <col min="22" max="22" width="6.28515625" style="5" bestFit="1" customWidth="1"/>
    <col min="23" max="23" width="13.7109375" style="148" bestFit="1" customWidth="1"/>
    <col min="24" max="24" width="3" style="5" bestFit="1" customWidth="1"/>
    <col min="25" max="25" width="9.28515625" style="5" bestFit="1" customWidth="1"/>
    <col min="26" max="26" width="9.28515625" style="5" customWidth="1"/>
    <col min="27" max="16384" width="11.42578125" style="5"/>
  </cols>
  <sheetData>
    <row r="1" spans="2:27" s="7" customFormat="1" ht="20.25">
      <c r="B1" s="18" t="str">
        <f>Teilnehmer!B1</f>
        <v>20. Fürst von Wrede Rallye 2024</v>
      </c>
      <c r="C1" s="18"/>
      <c r="D1" s="18"/>
      <c r="E1" s="18"/>
      <c r="F1" s="18"/>
      <c r="G1" s="18"/>
      <c r="H1" s="18"/>
      <c r="I1" s="18"/>
      <c r="J1" s="18"/>
      <c r="K1" s="18"/>
      <c r="L1" s="18"/>
      <c r="M1" s="18"/>
      <c r="N1" s="18"/>
      <c r="O1" s="18"/>
      <c r="P1" s="18"/>
      <c r="Q1" s="18"/>
      <c r="R1" s="18"/>
      <c r="S1" s="18"/>
      <c r="W1" s="147"/>
      <c r="Y1" s="62"/>
      <c r="Z1" s="61" t="s">
        <v>312</v>
      </c>
      <c r="AA1" s="101" t="s">
        <v>58</v>
      </c>
    </row>
    <row r="2" spans="2:27" s="7" customFormat="1" ht="14.1" customHeight="1">
      <c r="B2" s="37"/>
      <c r="C2" s="37"/>
      <c r="D2" s="37"/>
      <c r="E2" s="37"/>
      <c r="F2" s="37"/>
      <c r="G2" s="37"/>
      <c r="H2" s="37"/>
      <c r="I2" s="37"/>
      <c r="J2" s="37"/>
      <c r="K2" s="37"/>
      <c r="L2" s="37"/>
      <c r="M2" s="37"/>
      <c r="N2" s="37"/>
      <c r="O2" s="37"/>
      <c r="P2" s="37"/>
      <c r="Q2" s="37"/>
      <c r="R2" s="37"/>
      <c r="S2" s="37"/>
      <c r="W2" s="147"/>
      <c r="X2" s="51" t="s">
        <v>18</v>
      </c>
      <c r="Y2" s="52">
        <f>Teilnehmer!$U$5</f>
        <v>0.2</v>
      </c>
      <c r="Z2" s="53">
        <f>ROUND($L$4*Y2,0.5)</f>
        <v>2</v>
      </c>
    </row>
    <row r="3" spans="2:27" ht="15" customHeight="1">
      <c r="V3" s="335" t="s">
        <v>313</v>
      </c>
      <c r="W3" s="343" t="s">
        <v>314</v>
      </c>
      <c r="X3" s="54" t="s">
        <v>26</v>
      </c>
      <c r="Y3" s="49">
        <f>Teilnehmer!$U$6</f>
        <v>0.25</v>
      </c>
      <c r="Z3" s="55">
        <f>Z2+ROUND($L$4*Y3,0.5)</f>
        <v>5</v>
      </c>
    </row>
    <row r="4" spans="2:27" ht="15.75" customHeight="1">
      <c r="E4" s="8" t="s">
        <v>315</v>
      </c>
      <c r="G4" s="8" t="s">
        <v>329</v>
      </c>
      <c r="H4" s="9" t="s">
        <v>3</v>
      </c>
      <c r="I4" s="10">
        <v>11</v>
      </c>
      <c r="L4" s="11">
        <f>COUNTA(D7:D17)</f>
        <v>11</v>
      </c>
      <c r="M4" s="8" t="s">
        <v>317</v>
      </c>
      <c r="V4" s="335"/>
      <c r="W4" s="343"/>
      <c r="X4" s="56" t="s">
        <v>33</v>
      </c>
      <c r="Y4" s="50">
        <f>Teilnehmer!$U$7</f>
        <v>0.3</v>
      </c>
      <c r="Z4" s="57">
        <f>Z3+ROUND($L$4*Y4,0.5)</f>
        <v>8</v>
      </c>
    </row>
    <row r="5" spans="2:27" ht="15" customHeight="1" thickBot="1">
      <c r="L5" s="15">
        <f>L4-Teilnehmer!P14</f>
        <v>0</v>
      </c>
      <c r="M5" s="15" t="s">
        <v>283</v>
      </c>
      <c r="V5" s="335"/>
      <c r="W5" s="343"/>
      <c r="X5" s="58" t="s">
        <v>39</v>
      </c>
      <c r="Y5" s="59" t="s">
        <v>40</v>
      </c>
      <c r="Z5" s="60"/>
    </row>
    <row r="6" spans="2:27" s="183" customFormat="1" ht="29.25">
      <c r="B6" s="19" t="s">
        <v>318</v>
      </c>
      <c r="C6" s="20" t="s">
        <v>319</v>
      </c>
      <c r="D6" s="21" t="s">
        <v>299</v>
      </c>
      <c r="E6" s="20" t="s">
        <v>4</v>
      </c>
      <c r="F6" s="22" t="s">
        <v>5</v>
      </c>
      <c r="G6" s="20" t="s">
        <v>6</v>
      </c>
      <c r="H6" s="20" t="s">
        <v>7</v>
      </c>
      <c r="I6" s="22" t="s">
        <v>5</v>
      </c>
      <c r="J6" s="20" t="s">
        <v>6</v>
      </c>
      <c r="K6" s="20" t="s">
        <v>8</v>
      </c>
      <c r="L6" s="22" t="s">
        <v>320</v>
      </c>
      <c r="M6" s="22" t="s">
        <v>321</v>
      </c>
      <c r="N6" s="22" t="s">
        <v>322</v>
      </c>
      <c r="O6" s="22" t="s">
        <v>323</v>
      </c>
      <c r="P6" s="22" t="s">
        <v>324</v>
      </c>
      <c r="Q6" s="22" t="s">
        <v>325</v>
      </c>
      <c r="R6" s="236" t="s">
        <v>297</v>
      </c>
      <c r="S6" s="240" t="s">
        <v>326</v>
      </c>
      <c r="T6" s="238" t="s">
        <v>327</v>
      </c>
      <c r="V6" s="335"/>
      <c r="W6" s="343"/>
      <c r="X6" s="204"/>
    </row>
    <row r="7" spans="2:27" s="197" customFormat="1" ht="27.75" customHeight="1">
      <c r="B7" s="188">
        <v>1</v>
      </c>
      <c r="C7" s="190" t="str">
        <f>IF(ISBLANK(D7),"",IF(B7&lt;=$Z$2,"G",IF(AND(B7&gt;$Z$2,B7&lt;=$Z$3),"S",IF(AND(B7&gt;$Z$3,B7&lt;=$Z$4),"B","E"))))</f>
        <v>G</v>
      </c>
      <c r="D7" s="205">
        <v>1</v>
      </c>
      <c r="E7" s="181" t="str">
        <f>IF(ISBLANK($D7),"",VLOOKUP($D7,Teilnehmer!$B$4:$K$199,4,0))</f>
        <v>Brunken Wilfried</v>
      </c>
      <c r="F7" s="286">
        <f>IF(ISBLANK($D7),"",VLOOKUP($D7,Teilnehmer!$B$4:$K$199,5,0))</f>
        <v>15828</v>
      </c>
      <c r="G7" s="287" t="str">
        <f>IF(ISBLANK($D7),"",VLOOKUP($D7,Teilnehmer!$B$4:$K$199,6,0))</f>
        <v>MSC Ramberg</v>
      </c>
      <c r="H7" s="181" t="str">
        <f>IF(ISBLANK($D7),"",VLOOKUP($D7,Teilnehmer!$B$4:$K$199,7,0))</f>
        <v>Dietrich Manuela</v>
      </c>
      <c r="I7" s="286">
        <f>IF(ISBLANK($D7),"",VLOOKUP($D7,Teilnehmer!$B$4:$K$199,8,0))</f>
        <v>15827</v>
      </c>
      <c r="J7" s="287" t="str">
        <f>IF(ISBLANK($D7),"",VLOOKUP($D7,Teilnehmer!$B$4:$K$199,9,0))</f>
        <v>MSC Ramberg</v>
      </c>
      <c r="K7" s="206" t="str">
        <f>IF(ISBLANK($D7),"",VLOOKUP($D7,Teilnehmer!$B$4:$K$199,10,0))</f>
        <v>Mitsubishi EVO X</v>
      </c>
      <c r="L7" s="207">
        <f>IF(ISBLANK($D7),"",VLOOKUP($D7,'Ausgabe Zeiten'!M:AV,4,0))</f>
        <v>3.341319444444435E-3</v>
      </c>
      <c r="M7" s="207">
        <f>IF(ISBLANK($D7),"",VLOOKUP($D7,'Ausgabe Zeiten'!M:AV,9,0))</f>
        <v>4.0972222222222521E-3</v>
      </c>
      <c r="N7" s="207">
        <f>IF(ISBLANK($D7),"",VLOOKUP($D7,'Ausgabe Zeiten'!M:AV,14,0))</f>
        <v>3.2959490740740449E-3</v>
      </c>
      <c r="O7" s="207">
        <f>IF(ISBLANK($D7),"",VLOOKUP($D7,'Ausgabe Zeiten'!M:AV,19,0))</f>
        <v>3.8753472222221585E-3</v>
      </c>
      <c r="P7" s="207">
        <f>IF(ISBLANK($D7),"",VLOOKUP($D7,'Ausgabe Zeiten'!M:AV,24,0))</f>
        <v>3.2714120370370692E-3</v>
      </c>
      <c r="Q7" s="207">
        <f>IF(ISBLANK($D7),"",VLOOKUP($D7,'Ausgabe Zeiten'!M:AV,29,0))</f>
        <v>0</v>
      </c>
      <c r="R7" s="237">
        <f>IF(ISBLANK($D7),"",VLOOKUP($D7,'Ausgabe Zeiten'!M:AV,35,0))</f>
        <v>0</v>
      </c>
      <c r="S7" s="241">
        <f>IF(ISBLANK($D7),"",VLOOKUP($D7,'Ausgabe Zeiten'!M:AV,36,0))</f>
        <v>1.788124999999996E-2</v>
      </c>
      <c r="T7" s="239">
        <f t="shared" ref="T7:T17" si="0">IF(ISBLANK(D7),"",ROUND((23-20*(B7-1)/$L$4),2))</f>
        <v>23</v>
      </c>
      <c r="V7" s="208" t="str">
        <f t="shared" ref="V7:V17" si="1">IF(ISBLANK($D7),"",IF(S7-SUM(L7:R7)=0,"ok","X"))</f>
        <v>ok</v>
      </c>
      <c r="W7" s="198" t="str">
        <f t="shared" ref="W7:W17" si="2">IF(ISBLANK($D7),"",IF(S8&gt;S7,"ok","Sortierung A bis Z"))</f>
        <v>ok</v>
      </c>
      <c r="X7" s="208"/>
    </row>
    <row r="8" spans="2:27" s="197" customFormat="1" ht="27.75" customHeight="1">
      <c r="B8" s="188">
        <f>IF(ISBLANK(D8),"",B7+1)</f>
        <v>2</v>
      </c>
      <c r="C8" s="190" t="str">
        <f>IF(ISBLANK(D8),"",IF(B8&lt;=$Z$2,"G",IF(AND(B8&gt;$Z$2,B8&lt;=$Z$3),"S",IF(AND(B8&gt;$Z$3,B8&lt;=$Z$4),"B","E"))))</f>
        <v>G</v>
      </c>
      <c r="D8" s="205">
        <v>2</v>
      </c>
      <c r="E8" s="181" t="str">
        <f>IF(ISBLANK($D8),"",VLOOKUP($D8,Teilnehmer!$B$4:$K$199,4,0))</f>
        <v>Schulze Stefan</v>
      </c>
      <c r="F8" s="286">
        <f>IF(ISBLANK($D8),"",VLOOKUP($D8,Teilnehmer!$B$4:$K$199,5,0))</f>
        <v>15615</v>
      </c>
      <c r="G8" s="287" t="str">
        <f>IF(ISBLANK($D8),"",VLOOKUP($D8,Teilnehmer!$B$4:$K$199,6,0))</f>
        <v>MSC Mamming</v>
      </c>
      <c r="H8" s="181" t="str">
        <f>IF(ISBLANK($D8),"",VLOOKUP($D8,Teilnehmer!$B$4:$K$199,7,0))</f>
        <v>Kuhn Lisa</v>
      </c>
      <c r="I8" s="286">
        <f>IF(ISBLANK($D8),"",VLOOKUP($D8,Teilnehmer!$B$4:$K$199,8,0))</f>
        <v>16075</v>
      </c>
      <c r="J8" s="287" t="str">
        <f>IF(ISBLANK($D8),"",VLOOKUP($D8,Teilnehmer!$B$4:$K$199,9,0))</f>
        <v>-</v>
      </c>
      <c r="K8" s="206" t="str">
        <f>IF(ISBLANK($D8),"",VLOOKUP($D8,Teilnehmer!$B$4:$K$199,10,0))</f>
        <v>Subaru Impreza</v>
      </c>
      <c r="L8" s="207">
        <f>IF(ISBLANK($D8),"",VLOOKUP($D8,'Ausgabe Zeiten'!M:AV,4,0))</f>
        <v>3.3124999999999405E-3</v>
      </c>
      <c r="M8" s="207">
        <f>IF(ISBLANK($D8),"",VLOOKUP($D8,'Ausgabe Zeiten'!M:AV,9,0))</f>
        <v>4.0078703703704255E-3</v>
      </c>
      <c r="N8" s="207">
        <f>IF(ISBLANK($D8),"",VLOOKUP($D8,'Ausgabe Zeiten'!M:AV,14,0))</f>
        <v>3.3053240740740231E-3</v>
      </c>
      <c r="O8" s="207">
        <f>IF(ISBLANK($D8),"",VLOOKUP($D8,'Ausgabe Zeiten'!M:AV,19,0))</f>
        <v>3.8648148148148209E-3</v>
      </c>
      <c r="P8" s="207">
        <f>IF(ISBLANK($D8),"",VLOOKUP($D8,'Ausgabe Zeiten'!M:AV,24,0))</f>
        <v>3.3263888888889204E-3</v>
      </c>
      <c r="Q8" s="207">
        <f>IF(ISBLANK($D8),"",VLOOKUP($D8,'Ausgabe Zeiten'!M:AV,29,0))</f>
        <v>0</v>
      </c>
      <c r="R8" s="237">
        <f>IF(ISBLANK($D8),"",VLOOKUP($D8,'Ausgabe Zeiten'!M:AV,35,0))</f>
        <v>3.4722222222222224E-4</v>
      </c>
      <c r="S8" s="241">
        <f>IF(ISBLANK($D8),"",VLOOKUP($D8,'Ausgabe Zeiten'!M:AV,36,0))</f>
        <v>1.8164120370370351E-2</v>
      </c>
      <c r="T8" s="239">
        <f t="shared" si="0"/>
        <v>21.18</v>
      </c>
      <c r="V8" s="208" t="str">
        <f t="shared" si="1"/>
        <v>ok</v>
      </c>
      <c r="W8" s="198" t="str">
        <f t="shared" si="2"/>
        <v>ok</v>
      </c>
      <c r="X8" s="208"/>
    </row>
    <row r="9" spans="2:27" s="197" customFormat="1" ht="27.75" customHeight="1">
      <c r="B9" s="188">
        <f t="shared" ref="B9:B16" si="3">IF(ISBLANK(D9),"",B8+1)</f>
        <v>3</v>
      </c>
      <c r="C9" s="190" t="str">
        <f>IF(ISBLANK(D9),"",IF(B9&lt;=$Z$2,"G",IF(AND(B9&gt;$Z$2,B9&lt;=$Z$3),"S",IF(AND(B9&gt;$Z$3,B9&lt;=$Z$4),"B","E"))))</f>
        <v>S</v>
      </c>
      <c r="D9" s="205">
        <v>10</v>
      </c>
      <c r="E9" s="181" t="str">
        <f>IF(ISBLANK($D9),"",VLOOKUP($D9,Teilnehmer!$B$4:$K$199,4,0))</f>
        <v>Schweiger Andreas</v>
      </c>
      <c r="F9" s="286" t="str">
        <f>IF(ISBLANK($D9),"",VLOOKUP($D9,Teilnehmer!$B$4:$K$199,5,0))</f>
        <v>-</v>
      </c>
      <c r="G9" s="287" t="str">
        <f>IF(ISBLANK($D9),"",VLOOKUP($D9,Teilnehmer!$B$4:$K$199,6,0))</f>
        <v>MSC Emmersdorf</v>
      </c>
      <c r="H9" s="181" t="str">
        <f>IF(ISBLANK($D9),"",VLOOKUP($D9,Teilnehmer!$B$4:$K$199,7,0))</f>
        <v>Strobl Philip</v>
      </c>
      <c r="I9" s="286" t="str">
        <f>IF(ISBLANK($D9),"",VLOOKUP($D9,Teilnehmer!$B$4:$K$199,8,0))</f>
        <v>-</v>
      </c>
      <c r="J9" s="287" t="str">
        <f>IF(ISBLANK($D9),"",VLOOKUP($D9,Teilnehmer!$B$4:$K$199,9,0))</f>
        <v>SCC Grünthal</v>
      </c>
      <c r="K9" s="206" t="str">
        <f>IF(ISBLANK($D9),"",VLOOKUP($D9,Teilnehmer!$B$4:$K$199,10,0))</f>
        <v>Mitsubishi Lancer Evo 7</v>
      </c>
      <c r="L9" s="207">
        <f>IF(ISBLANK($D9),"",VLOOKUP($D9,'Ausgabe Zeiten'!M:AV,4,0))</f>
        <v>3.4290509259258806E-3</v>
      </c>
      <c r="M9" s="207">
        <f>IF(ISBLANK($D9),"",VLOOKUP($D9,'Ausgabe Zeiten'!M:AV,9,0))</f>
        <v>3.9508101851851718E-3</v>
      </c>
      <c r="N9" s="207">
        <f>IF(ISBLANK($D9),"",VLOOKUP($D9,'Ausgabe Zeiten'!M:AV,14,0))</f>
        <v>3.4062500000000551E-3</v>
      </c>
      <c r="O9" s="207">
        <f>IF(ISBLANK($D9),"",VLOOKUP($D9,'Ausgabe Zeiten'!M:AV,19,0))</f>
        <v>3.8924768518519004E-3</v>
      </c>
      <c r="P9" s="207">
        <f>IF(ISBLANK($D9),"",VLOOKUP($D9,'Ausgabe Zeiten'!M:AV,24,0))</f>
        <v>3.4023148148148996E-3</v>
      </c>
      <c r="Q9" s="207">
        <f>IF(ISBLANK($D9),"",VLOOKUP($D9,'Ausgabe Zeiten'!M:AV,29,0))</f>
        <v>0</v>
      </c>
      <c r="R9" s="237">
        <f>IF(ISBLANK($D9),"",VLOOKUP($D9,'Ausgabe Zeiten'!M:AV,35,0))</f>
        <v>3.4722222222222224E-4</v>
      </c>
      <c r="S9" s="241">
        <f>IF(ISBLANK($D9),"",VLOOKUP($D9,'Ausgabe Zeiten'!M:AV,36,0))</f>
        <v>1.8428125000000128E-2</v>
      </c>
      <c r="T9" s="239">
        <f t="shared" si="0"/>
        <v>19.36</v>
      </c>
      <c r="V9" s="208" t="str">
        <f t="shared" si="1"/>
        <v>ok</v>
      </c>
      <c r="W9" s="198" t="str">
        <f t="shared" si="2"/>
        <v>ok</v>
      </c>
      <c r="X9" s="208"/>
    </row>
    <row r="10" spans="2:27" s="197" customFormat="1" ht="27.75" customHeight="1">
      <c r="B10" s="188">
        <f t="shared" si="3"/>
        <v>4</v>
      </c>
      <c r="C10" s="190" t="str">
        <f>IF(ISBLANK(D10),"",IF(B10&lt;=$Z$2,"G",IF(AND(B10&gt;$Z$2,B10&lt;=$Z$3),"S",IF(AND(B10&gt;$Z$3,B10&lt;=$Z$4),"B","E"))))</f>
        <v>S</v>
      </c>
      <c r="D10" s="205">
        <v>7</v>
      </c>
      <c r="E10" s="181" t="str">
        <f>IF(ISBLANK($D10),"",VLOOKUP($D10,Teilnehmer!$B$4:$K$199,4,0))</f>
        <v>Kübler Ulrich</v>
      </c>
      <c r="F10" s="286" t="str">
        <f>IF(ISBLANK($D10),"",VLOOKUP($D10,Teilnehmer!$B$4:$K$199,5,0))</f>
        <v>-</v>
      </c>
      <c r="G10" s="287" t="str">
        <f>IF(ISBLANK($D10),"",VLOOKUP($D10,Teilnehmer!$B$4:$K$199,6,0))</f>
        <v>HMC Öhringen</v>
      </c>
      <c r="H10" s="181" t="str">
        <f>IF(ISBLANK($D10),"",VLOOKUP($D10,Teilnehmer!$B$4:$K$199,7,0))</f>
        <v>Kübler Rick</v>
      </c>
      <c r="I10" s="286" t="str">
        <f>IF(ISBLANK($D10),"",VLOOKUP($D10,Teilnehmer!$B$4:$K$199,8,0))</f>
        <v>-</v>
      </c>
      <c r="J10" s="287" t="str">
        <f>IF(ISBLANK($D10),"",VLOOKUP($D10,Teilnehmer!$B$4:$K$199,9,0))</f>
        <v>-</v>
      </c>
      <c r="K10" s="206" t="str">
        <f>IF(ISBLANK($D10),"",VLOOKUP($D10,Teilnehmer!$B$4:$K$199,10,0))</f>
        <v>Mitsubishi Lancer EVO 8</v>
      </c>
      <c r="L10" s="207">
        <f>IF(ISBLANK($D10),"",VLOOKUP($D10,'Ausgabe Zeiten'!M:AV,4,0))</f>
        <v>3.5446759259259442E-3</v>
      </c>
      <c r="M10" s="207">
        <f>IF(ISBLANK($D10),"",VLOOKUP($D10,'Ausgabe Zeiten'!M:AV,9,0))</f>
        <v>4.1614583333332567E-3</v>
      </c>
      <c r="N10" s="207">
        <f>IF(ISBLANK($D10),"",VLOOKUP($D10,'Ausgabe Zeiten'!M:AV,14,0))</f>
        <v>3.4776620370371436E-3</v>
      </c>
      <c r="O10" s="207">
        <f>IF(ISBLANK($D10),"",VLOOKUP($D10,'Ausgabe Zeiten'!M:AV,19,0))</f>
        <v>3.9900462962964012E-3</v>
      </c>
      <c r="P10" s="207">
        <f>IF(ISBLANK($D10),"",VLOOKUP($D10,'Ausgabe Zeiten'!M:AV,24,0))</f>
        <v>3.4947916666666634E-3</v>
      </c>
      <c r="Q10" s="207">
        <f>IF(ISBLANK($D10),"",VLOOKUP($D10,'Ausgabe Zeiten'!M:AV,29,0))</f>
        <v>0</v>
      </c>
      <c r="R10" s="237">
        <f>IF(ISBLANK($D10),"",VLOOKUP($D10,'Ausgabe Zeiten'!M:AV,35,0))</f>
        <v>0</v>
      </c>
      <c r="S10" s="241">
        <f>IF(ISBLANK($D10),"",VLOOKUP($D10,'Ausgabe Zeiten'!M:AV,36,0))</f>
        <v>1.8668634259259409E-2</v>
      </c>
      <c r="T10" s="239">
        <f t="shared" si="0"/>
        <v>17.55</v>
      </c>
      <c r="V10" s="208" t="str">
        <f t="shared" si="1"/>
        <v>ok</v>
      </c>
      <c r="W10" s="198" t="str">
        <f t="shared" si="2"/>
        <v>ok</v>
      </c>
      <c r="X10" s="208"/>
    </row>
    <row r="11" spans="2:27" s="197" customFormat="1" ht="27.75" customHeight="1">
      <c r="B11" s="188">
        <f t="shared" si="3"/>
        <v>5</v>
      </c>
      <c r="C11" s="190" t="str">
        <f>IF(ISBLANK(D11),"",IF(B11&lt;=$Z$2,"G",IF(AND(B11&gt;$Z$2,B11&lt;=$Z$3),"S",IF(AND(B11&gt;$Z$3,B11&lt;=$Z$4),"B","E"))))</f>
        <v>S</v>
      </c>
      <c r="D11" s="205">
        <v>3</v>
      </c>
      <c r="E11" s="181" t="str">
        <f>IF(ISBLANK($D11),"",VLOOKUP($D11,Teilnehmer!$B$4:$K$199,4,0))</f>
        <v>Köhler Stephan</v>
      </c>
      <c r="F11" s="286">
        <f>IF(ISBLANK($D11),"",VLOOKUP($D11,Teilnehmer!$B$4:$K$199,5,0))</f>
        <v>15208</v>
      </c>
      <c r="G11" s="287" t="str">
        <f>IF(ISBLANK($D11),"",VLOOKUP($D11,Teilnehmer!$B$4:$K$199,6,0))</f>
        <v>MSC Mamming</v>
      </c>
      <c r="H11" s="181" t="str">
        <f>IF(ISBLANK($D11),"",VLOOKUP($D11,Teilnehmer!$B$4:$K$199,7,0))</f>
        <v>Schachtner Michaela</v>
      </c>
      <c r="I11" s="286">
        <f>IF(ISBLANK($D11),"",VLOOKUP($D11,Teilnehmer!$B$4:$K$199,8,0))</f>
        <v>16147</v>
      </c>
      <c r="J11" s="287" t="str">
        <f>IF(ISBLANK($D11),"",VLOOKUP($D11,Teilnehmer!$B$4:$K$199,9,0))</f>
        <v>MSC Emmersdorf</v>
      </c>
      <c r="K11" s="206" t="str">
        <f>IF(ISBLANK($D11),"",VLOOKUP($D11,Teilnehmer!$B$4:$K$199,10,0))</f>
        <v>Mitsubishi EV6</v>
      </c>
      <c r="L11" s="207">
        <f>IF(ISBLANK($D11),"",VLOOKUP($D11,'Ausgabe Zeiten'!M:AV,4,0))</f>
        <v>3.5736111111111524E-3</v>
      </c>
      <c r="M11" s="207">
        <f>IF(ISBLANK($D11),"",VLOOKUP($D11,'Ausgabe Zeiten'!M:AV,9,0))</f>
        <v>4.47233796296298E-3</v>
      </c>
      <c r="N11" s="207">
        <f>IF(ISBLANK($D11),"",VLOOKUP($D11,'Ausgabe Zeiten'!M:AV,14,0))</f>
        <v>3.5224537037037429E-3</v>
      </c>
      <c r="O11" s="207">
        <f>IF(ISBLANK($D11),"",VLOOKUP($D11,'Ausgabe Zeiten'!M:AV,19,0))</f>
        <v>4.1208333333333513E-3</v>
      </c>
      <c r="P11" s="207">
        <f>IF(ISBLANK($D11),"",VLOOKUP($D11,'Ausgabe Zeiten'!M:AV,24,0))</f>
        <v>3.5251157407407696E-3</v>
      </c>
      <c r="Q11" s="207">
        <f>IF(ISBLANK($D11),"",VLOOKUP($D11,'Ausgabe Zeiten'!M:AV,29,0))</f>
        <v>0</v>
      </c>
      <c r="R11" s="237">
        <f>IF(ISBLANK($D11),"",VLOOKUP($D11,'Ausgabe Zeiten'!M:AV,35,0))</f>
        <v>0</v>
      </c>
      <c r="S11" s="241">
        <f>IF(ISBLANK($D11),"",VLOOKUP($D11,'Ausgabe Zeiten'!M:AV,36,0))</f>
        <v>1.9214351851851996E-2</v>
      </c>
      <c r="T11" s="239">
        <f t="shared" si="0"/>
        <v>15.73</v>
      </c>
      <c r="V11" s="208" t="str">
        <f t="shared" si="1"/>
        <v>ok</v>
      </c>
      <c r="W11" s="198" t="str">
        <f t="shared" si="2"/>
        <v>ok</v>
      </c>
      <c r="X11" s="208"/>
    </row>
    <row r="12" spans="2:27" s="197" customFormat="1" ht="27.75" customHeight="1">
      <c r="B12" s="188">
        <f t="shared" si="3"/>
        <v>6</v>
      </c>
      <c r="C12" s="190" t="str">
        <f>IF(ISBLANK(D12),"",IF(B12&lt;=$Z$2,"G",IF(AND(B12&gt;$Z$2,B12&lt;=$Z$3),"S",IF(AND(B12&gt;$Z$3,B12&lt;=$Z$4),"B","E"))))</f>
        <v>B</v>
      </c>
      <c r="D12" s="205">
        <v>60</v>
      </c>
      <c r="E12" s="181" t="str">
        <f>IF(ISBLANK($D12),"",VLOOKUP($D12,Teilnehmer!$B$4:$K$199,4,0))</f>
        <v>Hillreiner Stefan</v>
      </c>
      <c r="F12" s="286" t="str">
        <f>IF(ISBLANK($D12),"",VLOOKUP($D12,Teilnehmer!$B$4:$K$199,5,0))</f>
        <v>-</v>
      </c>
      <c r="G12" s="287" t="str">
        <f>IF(ISBLANK($D12),"",VLOOKUP($D12,Teilnehmer!$B$4:$K$199,6,0))</f>
        <v>Scuderia Neuburg</v>
      </c>
      <c r="H12" s="181" t="str">
        <f>IF(ISBLANK($D12),"",VLOOKUP($D12,Teilnehmer!$B$4:$K$199,7,0))</f>
        <v>Alzheimer Dominik</v>
      </c>
      <c r="I12" s="286" t="str">
        <f>IF(ISBLANK($D12),"",VLOOKUP($D12,Teilnehmer!$B$4:$K$199,8,0))</f>
        <v>-</v>
      </c>
      <c r="J12" s="287" t="str">
        <f>IF(ISBLANK($D12),"",VLOOKUP($D12,Teilnehmer!$B$4:$K$199,9,0))</f>
        <v>-</v>
      </c>
      <c r="K12" s="206" t="str">
        <f>IF(ISBLANK($D12),"",VLOOKUP($D12,Teilnehmer!$B$4:$K$199,10,0))</f>
        <v>Audi TTRS</v>
      </c>
      <c r="L12" s="207">
        <f>IF(ISBLANK($D12),"",VLOOKUP($D12,'Ausgabe Zeiten'!M:AV,4,0))</f>
        <v>3.8528935185185298E-3</v>
      </c>
      <c r="M12" s="207">
        <f>IF(ISBLANK($D12),"",VLOOKUP($D12,'Ausgabe Zeiten'!M:AV,9,0))</f>
        <v>4.3260416666666135E-3</v>
      </c>
      <c r="N12" s="207">
        <f>IF(ISBLANK($D12),"",VLOOKUP($D12,'Ausgabe Zeiten'!M:AV,14,0))</f>
        <v>3.5229166666665979E-3</v>
      </c>
      <c r="O12" s="207">
        <f>IF(ISBLANK($D12),"",VLOOKUP($D12,'Ausgabe Zeiten'!M:AV,19,0))</f>
        <v>4.224421296296299E-3</v>
      </c>
      <c r="P12" s="207">
        <f>IF(ISBLANK($D12),"",VLOOKUP($D12,'Ausgabe Zeiten'!M:AV,24,0))</f>
        <v>3.4627314814814625E-3</v>
      </c>
      <c r="Q12" s="207">
        <f>IF(ISBLANK($D12),"",VLOOKUP($D12,'Ausgabe Zeiten'!M:AV,29,0))</f>
        <v>0</v>
      </c>
      <c r="R12" s="237">
        <f>IF(ISBLANK($D12),"",VLOOKUP($D12,'Ausgabe Zeiten'!M:AV,35,0))</f>
        <v>0</v>
      </c>
      <c r="S12" s="241">
        <f>IF(ISBLANK($D12),"",VLOOKUP($D12,'Ausgabe Zeiten'!M:AV,36,0))</f>
        <v>1.9389004629629503E-2</v>
      </c>
      <c r="T12" s="239">
        <f t="shared" si="0"/>
        <v>13.91</v>
      </c>
      <c r="V12" s="208" t="str">
        <f t="shared" si="1"/>
        <v>ok</v>
      </c>
      <c r="W12" s="198" t="str">
        <f t="shared" si="2"/>
        <v>ok</v>
      </c>
      <c r="X12" s="208"/>
    </row>
    <row r="13" spans="2:27" s="197" customFormat="1" ht="27.75" customHeight="1">
      <c r="B13" s="188">
        <f t="shared" si="3"/>
        <v>7</v>
      </c>
      <c r="C13" s="190" t="str">
        <f>IF(ISBLANK(D13),"",IF(B13&lt;=$Z$2,"G",IF(AND(B13&gt;$Z$2,B13&lt;=$Z$3),"S",IF(AND(B13&gt;$Z$3,B13&lt;=$Z$4),"B","E"))))</f>
        <v>B</v>
      </c>
      <c r="D13" s="205">
        <v>6</v>
      </c>
      <c r="E13" s="181" t="str">
        <f>IF(ISBLANK($D13),"",VLOOKUP($D13,Teilnehmer!$B$4:$K$199,4,0))</f>
        <v>Honke Reinhard</v>
      </c>
      <c r="F13" s="286" t="str">
        <f>IF(ISBLANK($D13),"",VLOOKUP($D13,Teilnehmer!$B$4:$K$199,5,0))</f>
        <v>-</v>
      </c>
      <c r="G13" s="287" t="str">
        <f>IF(ISBLANK($D13),"",VLOOKUP($D13,Teilnehmer!$B$4:$K$199,6,0))</f>
        <v>AC Bayreuth</v>
      </c>
      <c r="H13" s="181" t="str">
        <f>IF(ISBLANK($D13),"",VLOOKUP($D13,Teilnehmer!$B$4:$K$199,7,0))</f>
        <v>Heinze Michael</v>
      </c>
      <c r="I13" s="286" t="str">
        <f>IF(ISBLANK($D13),"",VLOOKUP($D13,Teilnehmer!$B$4:$K$199,8,0))</f>
        <v>-</v>
      </c>
      <c r="J13" s="287" t="str">
        <f>IF(ISBLANK($D13),"",VLOOKUP($D13,Teilnehmer!$B$4:$K$199,9,0))</f>
        <v>MSC Fränkische Schweiz</v>
      </c>
      <c r="K13" s="206" t="str">
        <f>IF(ISBLANK($D13),"",VLOOKUP($D13,Teilnehmer!$B$4:$K$199,10,0))</f>
        <v>Mitsubishi Lancer Evo 10</v>
      </c>
      <c r="L13" s="207">
        <f>IF(ISBLANK($D13),"",VLOOKUP($D13,'Ausgabe Zeiten'!M:AV,4,0))</f>
        <v>4.0997685185185095E-3</v>
      </c>
      <c r="M13" s="207">
        <f>IF(ISBLANK($D13),"",VLOOKUP($D13,'Ausgabe Zeiten'!M:AV,9,0))</f>
        <v>4.3004629629629365E-3</v>
      </c>
      <c r="N13" s="207">
        <f>IF(ISBLANK($D13),"",VLOOKUP($D13,'Ausgabe Zeiten'!M:AV,14,0))</f>
        <v>3.6371527777777635E-3</v>
      </c>
      <c r="O13" s="207">
        <f>IF(ISBLANK($D13),"",VLOOKUP($D13,'Ausgabe Zeiten'!M:AV,19,0))</f>
        <v>4.1289351851852008E-3</v>
      </c>
      <c r="P13" s="207">
        <f>IF(ISBLANK($D13),"",VLOOKUP($D13,'Ausgabe Zeiten'!M:AV,24,0))</f>
        <v>3.5708333333333009E-3</v>
      </c>
      <c r="Q13" s="207">
        <f>IF(ISBLANK($D13),"",VLOOKUP($D13,'Ausgabe Zeiten'!M:AV,29,0))</f>
        <v>0</v>
      </c>
      <c r="R13" s="237">
        <f>IF(ISBLANK($D13),"",VLOOKUP($D13,'Ausgabe Zeiten'!M:AV,35,0))</f>
        <v>3.4722222222222224E-4</v>
      </c>
      <c r="S13" s="241">
        <f>IF(ISBLANK($D13),"",VLOOKUP($D13,'Ausgabe Zeiten'!M:AV,36,0))</f>
        <v>2.0084374999999932E-2</v>
      </c>
      <c r="T13" s="239">
        <f t="shared" si="0"/>
        <v>12.09</v>
      </c>
      <c r="V13" s="208" t="str">
        <f t="shared" si="1"/>
        <v>ok</v>
      </c>
      <c r="W13" s="198" t="str">
        <f t="shared" si="2"/>
        <v>ok</v>
      </c>
      <c r="X13" s="208"/>
    </row>
    <row r="14" spans="2:27" s="197" customFormat="1" ht="27.75" customHeight="1" thickBot="1">
      <c r="B14" s="188">
        <f t="shared" si="3"/>
        <v>8</v>
      </c>
      <c r="C14" s="190" t="str">
        <f>IF(ISBLANK(D14),"",IF(B14&lt;=$Z$2,"G",IF(AND(B14&gt;$Z$2,B14&lt;=$Z$3),"S",IF(AND(B14&gt;$Z$3,B14&lt;=$Z$4),"B","E"))))</f>
        <v>B</v>
      </c>
      <c r="D14" s="205">
        <v>8</v>
      </c>
      <c r="E14" s="181" t="str">
        <f>IF(ISBLANK($D14),"",VLOOKUP($D14,Teilnehmer!$B$4:$K$199,4,0))</f>
        <v>Wallner Jakob</v>
      </c>
      <c r="F14" s="286" t="str">
        <f>IF(ISBLANK($D14),"",VLOOKUP($D14,Teilnehmer!$B$4:$K$199,5,0))</f>
        <v>-</v>
      </c>
      <c r="G14" s="287" t="str">
        <f>IF(ISBLANK($D14),"",VLOOKUP($D14,Teilnehmer!$B$4:$K$199,6,0))</f>
        <v>MSC Kitzbühel</v>
      </c>
      <c r="H14" s="181" t="str">
        <f>IF(ISBLANK($D14),"",VLOOKUP($D14,Teilnehmer!$B$4:$K$199,7,0))</f>
        <v>Pail Julia</v>
      </c>
      <c r="I14" s="286" t="str">
        <f>IF(ISBLANK($D14),"",VLOOKUP($D14,Teilnehmer!$B$4:$K$199,8,0))</f>
        <v>-</v>
      </c>
      <c r="J14" s="287" t="str">
        <f>IF(ISBLANK($D14),"",VLOOKUP($D14,Teilnehmer!$B$4:$K$199,9,0))</f>
        <v>MSC Kitzbühel</v>
      </c>
      <c r="K14" s="206" t="str">
        <f>IF(ISBLANK($D14),"",VLOOKUP($D14,Teilnehmer!$B$4:$K$199,10,0))</f>
        <v>Lancia Delta integrale 16v</v>
      </c>
      <c r="L14" s="207">
        <f>IF(ISBLANK($D14),"",VLOOKUP($D14,'Ausgabe Zeiten'!M:AV,4,0))</f>
        <v>4.0222222222221493E-3</v>
      </c>
      <c r="M14" s="207">
        <f>IF(ISBLANK($D14),"",VLOOKUP($D14,'Ausgabe Zeiten'!M:AV,9,0))</f>
        <v>4.5642361111110641E-3</v>
      </c>
      <c r="N14" s="207">
        <f>IF(ISBLANK($D14),"",VLOOKUP($D14,'Ausgabe Zeiten'!M:AV,14,0))</f>
        <v>3.9091435185185652E-3</v>
      </c>
      <c r="O14" s="207">
        <f>IF(ISBLANK($D14),"",VLOOKUP($D14,'Ausgabe Zeiten'!M:AV,19,0))</f>
        <v>4.2843749999998959E-3</v>
      </c>
      <c r="P14" s="207">
        <f>IF(ISBLANK($D14),"",VLOOKUP($D14,'Ausgabe Zeiten'!M:AV,24,0))</f>
        <v>4.1083333333333805E-3</v>
      </c>
      <c r="Q14" s="207">
        <f>IF(ISBLANK($D14),"",VLOOKUP($D14,'Ausgabe Zeiten'!M:AV,29,0))</f>
        <v>0</v>
      </c>
      <c r="R14" s="237">
        <f>IF(ISBLANK($D14),"",VLOOKUP($D14,'Ausgabe Zeiten'!M:AV,35,0))</f>
        <v>0</v>
      </c>
      <c r="S14" s="242" t="str">
        <f>IF(ISBLANK($D14),"",VLOOKUP($D14,'Ausgabe Zeiten'!M:AV,36,0))</f>
        <v>ADW</v>
      </c>
      <c r="T14" s="239">
        <v>0</v>
      </c>
      <c r="V14" s="208" t="e">
        <f t="shared" si="1"/>
        <v>#VALUE!</v>
      </c>
      <c r="W14" s="198" t="str">
        <f t="shared" si="2"/>
        <v>Sortierung A bis Z</v>
      </c>
      <c r="X14" s="208"/>
    </row>
    <row r="15" spans="2:27" s="197" customFormat="1" ht="27.75" customHeight="1">
      <c r="B15" s="188">
        <f t="shared" si="3"/>
        <v>9</v>
      </c>
      <c r="C15" s="190" t="str">
        <f>IF(ISBLANK(D15),"",IF(B15&lt;=$Z$2,"G",IF(AND(B15&gt;$Z$2,B15&lt;=$Z$3),"S",IF(AND(B15&gt;$Z$3,B15&lt;=$Z$4),"B","E"))))</f>
        <v>E</v>
      </c>
      <c r="D15" s="205">
        <v>4</v>
      </c>
      <c r="E15" s="181" t="str">
        <f>IF(ISBLANK($D15),"",VLOOKUP($D15,Teilnehmer!$B$4:$K$199,4,0))</f>
        <v>Rader Manfred</v>
      </c>
      <c r="F15" s="286">
        <f>IF(ISBLANK($D15),"",VLOOKUP($D15,Teilnehmer!$B$4:$K$199,5,0))</f>
        <v>15053</v>
      </c>
      <c r="G15" s="287" t="str">
        <f>IF(ISBLANK($D15),"",VLOOKUP($D15,Teilnehmer!$B$4:$K$199,6,0))</f>
        <v>-</v>
      </c>
      <c r="H15" s="181" t="str">
        <f>IF(ISBLANK($D15),"",VLOOKUP($D15,Teilnehmer!$B$4:$K$199,7,0))</f>
        <v>Hierbeck Andreas</v>
      </c>
      <c r="I15" s="286" t="str">
        <f>IF(ISBLANK($D15),"",VLOOKUP($D15,Teilnehmer!$B$4:$K$199,8,0))</f>
        <v>-</v>
      </c>
      <c r="J15" s="287" t="str">
        <f>IF(ISBLANK($D15),"",VLOOKUP($D15,Teilnehmer!$B$4:$K$199,9,0))</f>
        <v>-</v>
      </c>
      <c r="K15" s="206" t="str">
        <f>IF(ISBLANK($D15),"",VLOOKUP($D15,Teilnehmer!$B$4:$K$199,10,0))</f>
        <v>Audi 80 Quattro</v>
      </c>
      <c r="L15" s="207">
        <f>IF(ISBLANK($D15),"",VLOOKUP($D15,'Ausgabe Zeiten'!M:AV,4,0))</f>
        <v>3.6230324074074671E-3</v>
      </c>
      <c r="M15" s="207" t="str">
        <f>IF(ISBLANK($D15),"",VLOOKUP($D15,'Ausgabe Zeiten'!M:AV,9,0))</f>
        <v>ADW</v>
      </c>
      <c r="N15" s="207" t="str">
        <f>IF(ISBLANK($D15),"",VLOOKUP($D15,'Ausgabe Zeiten'!M:AV,14,0))</f>
        <v>ADW</v>
      </c>
      <c r="O15" s="207" t="str">
        <f>IF(ISBLANK($D15),"",VLOOKUP($D15,'Ausgabe Zeiten'!M:AV,19,0))</f>
        <v>ADW</v>
      </c>
      <c r="P15" s="207" t="str">
        <f>IF(ISBLANK($D15),"",VLOOKUP($D15,'Ausgabe Zeiten'!M:AV,24,0))</f>
        <v>ADW</v>
      </c>
      <c r="Q15" s="207">
        <f>IF(ISBLANK($D15),"",VLOOKUP($D15,'Ausgabe Zeiten'!M:AV,29,0))</f>
        <v>0</v>
      </c>
      <c r="R15" s="237">
        <f>IF(ISBLANK($D15),"",VLOOKUP($D15,'Ausgabe Zeiten'!M:AV,35,0))</f>
        <v>0</v>
      </c>
      <c r="S15" s="242" t="str">
        <f>IF(ISBLANK($D15),"",VLOOKUP($D15,'Ausgabe Zeiten'!M:AV,36,0))</f>
        <v>ADW</v>
      </c>
      <c r="T15" s="239">
        <v>0</v>
      </c>
      <c r="V15" s="208" t="e">
        <f t="shared" si="1"/>
        <v>#VALUE!</v>
      </c>
      <c r="W15" s="198" t="str">
        <f t="shared" si="2"/>
        <v>Sortierung A bis Z</v>
      </c>
      <c r="X15" s="208"/>
    </row>
    <row r="16" spans="2:27" s="197" customFormat="1" ht="27.75" customHeight="1">
      <c r="B16" s="188">
        <f t="shared" si="3"/>
        <v>10</v>
      </c>
      <c r="C16" s="190" t="str">
        <f>IF(ISBLANK(D16),"",IF(B16&lt;=$Z$2,"G",IF(AND(B16&gt;$Z$2,B16&lt;=$Z$3),"S",IF(AND(B16&gt;$Z$3,B16&lt;=$Z$4),"B","E"))))</f>
        <v>E</v>
      </c>
      <c r="D16" s="205">
        <v>5</v>
      </c>
      <c r="E16" s="181" t="str">
        <f>IF(ISBLANK($D16),"",VLOOKUP($D16,Teilnehmer!$B$4:$K$199,4,0))</f>
        <v>Paul Gerhard</v>
      </c>
      <c r="F16" s="286">
        <f>IF(ISBLANK($D16),"",VLOOKUP($D16,Teilnehmer!$B$4:$K$199,5,0))</f>
        <v>16128</v>
      </c>
      <c r="G16" s="287" t="str">
        <f>IF(ISBLANK($D16),"",VLOOKUP($D16,Teilnehmer!$B$4:$K$199,6,0))</f>
        <v>AC Gunzenhausen</v>
      </c>
      <c r="H16" s="181" t="str">
        <f>IF(ISBLANK($D16),"",VLOOKUP($D16,Teilnehmer!$B$4:$K$199,7,0))</f>
        <v>Paul Jana</v>
      </c>
      <c r="I16" s="286">
        <f>IF(ISBLANK($D16),"",VLOOKUP($D16,Teilnehmer!$B$4:$K$199,8,0))</f>
        <v>16127</v>
      </c>
      <c r="J16" s="287" t="str">
        <f>IF(ISBLANK($D16),"",VLOOKUP($D16,Teilnehmer!$B$4:$K$199,9,0))</f>
        <v>AC Gunzenhausen</v>
      </c>
      <c r="K16" s="206" t="str">
        <f>IF(ISBLANK($D16),"",VLOOKUP($D16,Teilnehmer!$B$4:$K$199,10,0))</f>
        <v>BMW E30ix</v>
      </c>
      <c r="L16" s="207">
        <f>IF(ISBLANK($D16),"",VLOOKUP($D16,'Ausgabe Zeiten'!M:AV,4,0))</f>
        <v>3.9246527777778151E-3</v>
      </c>
      <c r="M16" s="207">
        <f>IF(ISBLANK($D16),"",VLOOKUP($D16,'Ausgabe Zeiten'!M:AV,9,0))</f>
        <v>1.0416666666666666E-2</v>
      </c>
      <c r="N16" s="207" t="str">
        <f>IF(ISBLANK($D16),"",VLOOKUP($D16,'Ausgabe Zeiten'!M:AV,14,0))</f>
        <v>ADW</v>
      </c>
      <c r="O16" s="207" t="str">
        <f>IF(ISBLANK($D16),"",VLOOKUP($D16,'Ausgabe Zeiten'!M:AV,19,0))</f>
        <v>ADW</v>
      </c>
      <c r="P16" s="207" t="str">
        <f>IF(ISBLANK($D16),"",VLOOKUP($D16,'Ausgabe Zeiten'!M:AV,24,0))</f>
        <v>ADW</v>
      </c>
      <c r="Q16" s="207">
        <f>IF(ISBLANK($D16),"",VLOOKUP($D16,'Ausgabe Zeiten'!M:AV,29,0))</f>
        <v>0</v>
      </c>
      <c r="R16" s="237">
        <f>IF(ISBLANK($D16),"",VLOOKUP($D16,'Ausgabe Zeiten'!M:AV,35,0))</f>
        <v>0</v>
      </c>
      <c r="S16" s="242" t="str">
        <f>IF(ISBLANK($D16),"",VLOOKUP($D16,'Ausgabe Zeiten'!M:AV,36,0))</f>
        <v>ADW</v>
      </c>
      <c r="T16" s="239">
        <v>0</v>
      </c>
      <c r="V16" s="208" t="e">
        <f t="shared" si="1"/>
        <v>#VALUE!</v>
      </c>
      <c r="W16" s="198" t="str">
        <f t="shared" si="2"/>
        <v>Sortierung A bis Z</v>
      </c>
      <c r="X16" s="208"/>
    </row>
    <row r="17" spans="2:24" s="197" customFormat="1" ht="27.75" customHeight="1">
      <c r="B17" s="188">
        <f t="shared" ref="B17" si="4">IF(ISBLANK(D17),"",B16+1)</f>
        <v>11</v>
      </c>
      <c r="C17" s="190" t="str">
        <f>IF(ISBLANK(D17),"",IF(B17&lt;=$Z$2,"G",IF(AND(B17&gt;$Z$2,B17&lt;=$Z$3),"S",IF(AND(B17&gt;$Z$3,B17&lt;=$Z$4),"B","E"))))</f>
        <v>E</v>
      </c>
      <c r="D17" s="205">
        <v>9</v>
      </c>
      <c r="E17" s="181" t="str">
        <f>IF(ISBLANK($D17),"",VLOOKUP($D17,Teilnehmer!$B$4:$K$199,4,0))</f>
        <v>Stütz Ralf</v>
      </c>
      <c r="F17" s="286" t="str">
        <f>IF(ISBLANK($D17),"",VLOOKUP($D17,Teilnehmer!$B$4:$K$199,5,0))</f>
        <v>-</v>
      </c>
      <c r="G17" s="287" t="str">
        <f>IF(ISBLANK($D17),"",VLOOKUP($D17,Teilnehmer!$B$4:$K$199,6,0))</f>
        <v>-</v>
      </c>
      <c r="H17" s="181" t="str">
        <f>IF(ISBLANK($D17),"",VLOOKUP($D17,Teilnehmer!$B$4:$K$199,7,0))</f>
        <v>Hertfelder Albert</v>
      </c>
      <c r="I17" s="286" t="str">
        <f>IF(ISBLANK($D17),"",VLOOKUP($D17,Teilnehmer!$B$4:$K$199,8,0))</f>
        <v>-</v>
      </c>
      <c r="J17" s="287" t="str">
        <f>IF(ISBLANK($D17),"",VLOOKUP($D17,Teilnehmer!$B$4:$K$199,9,0))</f>
        <v>-</v>
      </c>
      <c r="K17" s="206" t="str">
        <f>IF(ISBLANK($D17),"",VLOOKUP($D17,Teilnehmer!$B$4:$K$199,10,0))</f>
        <v>Mitsubishi Lancer EVO</v>
      </c>
      <c r="L17" s="207">
        <f>IF(ISBLANK($D17),"",VLOOKUP($D17,'Ausgabe Zeiten'!M:AV,4,0))</f>
        <v>1.0416666666666666E-2</v>
      </c>
      <c r="M17" s="207" t="str">
        <f>IF(ISBLANK($D17),"",VLOOKUP($D17,'Ausgabe Zeiten'!M:AV,9,0))</f>
        <v>ADW</v>
      </c>
      <c r="N17" s="207" t="str">
        <f>IF(ISBLANK($D17),"",VLOOKUP($D17,'Ausgabe Zeiten'!M:AV,14,0))</f>
        <v>ADW</v>
      </c>
      <c r="O17" s="207" t="str">
        <f>IF(ISBLANK($D17),"",VLOOKUP($D17,'Ausgabe Zeiten'!M:AV,19,0))</f>
        <v>ADW</v>
      </c>
      <c r="P17" s="207" t="str">
        <f>IF(ISBLANK($D17),"",VLOOKUP($D17,'Ausgabe Zeiten'!M:AV,24,0))</f>
        <v>ADW</v>
      </c>
      <c r="Q17" s="207">
        <f>IF(ISBLANK($D17),"",VLOOKUP($D17,'Ausgabe Zeiten'!M:AV,29,0))</f>
        <v>0</v>
      </c>
      <c r="R17" s="237">
        <f>IF(ISBLANK($D17),"",VLOOKUP($D17,'Ausgabe Zeiten'!M:AV,35,0))</f>
        <v>0</v>
      </c>
      <c r="S17" s="242" t="str">
        <f>IF(ISBLANK($D17),"",VLOOKUP($D17,'Ausgabe Zeiten'!M:AV,36,0))</f>
        <v>ADW</v>
      </c>
      <c r="T17" s="239">
        <v>0</v>
      </c>
      <c r="V17" s="208" t="e">
        <f t="shared" si="1"/>
        <v>#VALUE!</v>
      </c>
      <c r="W17" s="198" t="str">
        <f t="shared" si="2"/>
        <v>Sortierung A bis Z</v>
      </c>
      <c r="X17" s="208"/>
    </row>
    <row r="18" spans="2:24" s="197" customFormat="1">
      <c r="B18" s="209"/>
      <c r="C18" s="210"/>
      <c r="W18" s="211"/>
    </row>
    <row r="19" spans="2:24" s="197" customFormat="1">
      <c r="B19" s="209"/>
      <c r="C19" s="210"/>
      <c r="W19" s="211"/>
    </row>
    <row r="20" spans="2:24" s="197" customFormat="1">
      <c r="B20" s="209"/>
      <c r="C20" s="210"/>
      <c r="W20" s="211"/>
    </row>
    <row r="21" spans="2:24" s="197" customFormat="1">
      <c r="B21" s="209"/>
      <c r="C21" s="210"/>
      <c r="W21" s="211"/>
    </row>
    <row r="22" spans="2:24" s="197" customFormat="1">
      <c r="B22" s="209"/>
      <c r="C22" s="210"/>
      <c r="W22" s="211"/>
    </row>
    <row r="23" spans="2:24" s="13" customFormat="1">
      <c r="B23" s="12"/>
      <c r="C23" s="14"/>
      <c r="W23" s="149"/>
    </row>
    <row r="24" spans="2:24" s="13" customFormat="1">
      <c r="B24" s="12"/>
      <c r="C24" s="14"/>
      <c r="W24" s="149"/>
    </row>
    <row r="25" spans="2:24" s="13" customFormat="1">
      <c r="B25" s="12"/>
      <c r="C25" s="14"/>
      <c r="W25" s="149"/>
    </row>
    <row r="26" spans="2:24" s="13" customFormat="1">
      <c r="B26" s="12"/>
      <c r="C26" s="14"/>
      <c r="W26" s="149"/>
    </row>
    <row r="27" spans="2:24" s="13" customFormat="1">
      <c r="B27" s="12"/>
      <c r="C27" s="14"/>
      <c r="W27" s="149"/>
    </row>
    <row r="28" spans="2:24" s="13" customFormat="1">
      <c r="B28" s="12"/>
      <c r="C28" s="14"/>
      <c r="W28" s="149"/>
    </row>
    <row r="29" spans="2:24" s="13" customFormat="1">
      <c r="B29" s="12"/>
      <c r="C29" s="14"/>
      <c r="W29" s="149"/>
    </row>
    <row r="30" spans="2:24" s="13" customFormat="1">
      <c r="B30" s="12"/>
      <c r="C30" s="14"/>
      <c r="W30" s="149"/>
    </row>
    <row r="31" spans="2:24" s="13" customFormat="1">
      <c r="B31" s="12"/>
      <c r="C31" s="14"/>
      <c r="W31" s="149"/>
    </row>
    <row r="32" spans="2:24" s="13" customFormat="1">
      <c r="B32" s="12"/>
      <c r="C32" s="14"/>
      <c r="W32" s="149"/>
    </row>
    <row r="33" spans="2:23" s="13" customFormat="1">
      <c r="B33" s="12"/>
      <c r="C33" s="14"/>
      <c r="W33" s="149"/>
    </row>
    <row r="34" spans="2:23" s="13" customFormat="1">
      <c r="B34" s="12"/>
      <c r="C34" s="14"/>
      <c r="W34" s="149"/>
    </row>
    <row r="35" spans="2:23" s="13" customFormat="1">
      <c r="B35" s="12"/>
      <c r="C35" s="14"/>
      <c r="W35" s="149"/>
    </row>
    <row r="36" spans="2:23" s="13" customFormat="1">
      <c r="B36" s="12"/>
      <c r="C36" s="14"/>
      <c r="W36" s="149"/>
    </row>
  </sheetData>
  <autoFilter ref="C6:S6" xr:uid="{7B828EDB-901C-404C-98B5-E64A905CC40B}">
    <sortState xmlns:xlrd2="http://schemas.microsoft.com/office/spreadsheetml/2017/richdata2" ref="C7:S17">
      <sortCondition ref="S6"/>
    </sortState>
  </autoFilter>
  <mergeCells count="2">
    <mergeCell ref="V3:V6"/>
    <mergeCell ref="W3:W6"/>
  </mergeCells>
  <conditionalFormatting sqref="L5">
    <cfRule type="cellIs" dxfId="33" priority="2" operator="lessThan">
      <formula>0</formula>
    </cfRule>
    <cfRule type="cellIs" dxfId="32" priority="3" operator="greaterThan">
      <formula>0</formula>
    </cfRule>
  </conditionalFormatting>
  <conditionalFormatting sqref="V1:V3 V7:V1048576">
    <cfRule type="cellIs" dxfId="31" priority="5" operator="equal">
      <formula>"X"</formula>
    </cfRule>
  </conditionalFormatting>
  <conditionalFormatting sqref="W1:W3 W7:W1048576">
    <cfRule type="cellIs" dxfId="30" priority="4" operator="equal">
      <formula>"Sortierung A bis Z"</formula>
    </cfRule>
  </conditionalFormatting>
  <conditionalFormatting sqref="D7:D17">
    <cfRule type="duplicateValues" dxfId="29" priority="1419"/>
  </conditionalFormatting>
  <pageMargins left="0.70866141732283472" right="0.70866141732283472" top="0.78740157480314965" bottom="0.78740157480314965" header="0.31496062992125984" footer="0.31496062992125984"/>
  <pageSetup paperSize="9" scale="64"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61831-68CC-432F-A342-CA611CE74AC5}">
  <sheetPr codeName="Tabelle10">
    <tabColor theme="9"/>
    <pageSetUpPr fitToPage="1"/>
  </sheetPr>
  <dimension ref="B1:T55"/>
  <sheetViews>
    <sheetView showGridLines="0" zoomScaleNormal="100" zoomScaleSheetLayoutView="130" workbookViewId="0">
      <pane xSplit="6" ySplit="5" topLeftCell="G6" activePane="bottomRight" state="frozen"/>
      <selection pane="bottomRight" activeCell="B1" sqref="B1:P22"/>
      <selection pane="bottomLeft" activeCell="L26" sqref="L26:L30"/>
      <selection pane="topRight" activeCell="L26" sqref="L26:L30"/>
    </sheetView>
  </sheetViews>
  <sheetFormatPr defaultColWidth="11.42578125" defaultRowHeight="14.25"/>
  <cols>
    <col min="1" max="1" width="1.5703125" style="5" customWidth="1"/>
    <col min="2" max="2" width="3.7109375" style="3" customWidth="1"/>
    <col min="3" max="4" width="2.7109375" style="5" customWidth="1"/>
    <col min="5" max="5" width="4.28515625" style="5" customWidth="1"/>
    <col min="6" max="6" width="16.42578125" style="13" bestFit="1" customWidth="1"/>
    <col min="7" max="7" width="9" style="5" customWidth="1"/>
    <col min="8" max="8" width="11.7109375" style="5" customWidth="1"/>
    <col min="9" max="9" width="15.7109375" style="13" customWidth="1"/>
    <col min="10" max="10" width="8.140625" style="5" customWidth="1"/>
    <col min="11" max="11" width="11.7109375" style="5" customWidth="1"/>
    <col min="12" max="12" width="10.85546875" style="5" customWidth="1"/>
    <col min="13" max="13" width="20.5703125" style="5" bestFit="1" customWidth="1"/>
    <col min="14" max="15" width="10.7109375" style="69" customWidth="1"/>
    <col min="16" max="16" width="14.28515625" style="69" customWidth="1"/>
    <col min="17" max="17" width="1.5703125" style="5" customWidth="1"/>
    <col min="18" max="18" width="13.5703125" style="148" bestFit="1" customWidth="1"/>
    <col min="19" max="16384" width="11.42578125" style="5"/>
  </cols>
  <sheetData>
    <row r="1" spans="2:20" s="7" customFormat="1" ht="20.25">
      <c r="B1" s="18" t="str">
        <f>Teilnehmer!B1</f>
        <v>20. Fürst von Wrede Rallye 2024</v>
      </c>
      <c r="C1" s="18"/>
      <c r="D1" s="18"/>
      <c r="E1" s="18"/>
      <c r="F1" s="18"/>
      <c r="G1" s="18"/>
      <c r="H1" s="18"/>
      <c r="I1" s="18"/>
      <c r="J1" s="18"/>
      <c r="K1" s="18"/>
      <c r="L1" s="18"/>
      <c r="M1" s="18"/>
      <c r="N1" s="68"/>
      <c r="O1" s="102"/>
      <c r="P1" s="68"/>
      <c r="R1" s="147"/>
      <c r="T1" s="101" t="s">
        <v>58</v>
      </c>
    </row>
    <row r="2" spans="2:20" ht="15" customHeight="1">
      <c r="O2" s="102"/>
      <c r="R2" s="343" t="s">
        <v>314</v>
      </c>
    </row>
    <row r="3" spans="2:20" ht="15.75" customHeight="1">
      <c r="F3" s="8" t="s">
        <v>315</v>
      </c>
      <c r="H3" s="8" t="s">
        <v>316</v>
      </c>
      <c r="I3" s="9"/>
      <c r="J3" s="11">
        <f>COUNTA(E6:E22)</f>
        <v>17</v>
      </c>
      <c r="K3" s="8" t="s">
        <v>317</v>
      </c>
      <c r="R3" s="343"/>
    </row>
    <row r="4" spans="2:20" ht="15" thickBot="1">
      <c r="J4" s="15">
        <f>J3-Teilnehmer!N5</f>
        <v>0</v>
      </c>
      <c r="K4" s="15" t="s">
        <v>283</v>
      </c>
      <c r="R4" s="343"/>
    </row>
    <row r="5" spans="2:20" ht="29.25">
      <c r="B5" s="103" t="s">
        <v>318</v>
      </c>
      <c r="C5" s="104" t="s">
        <v>2</v>
      </c>
      <c r="D5" s="104" t="s">
        <v>3</v>
      </c>
      <c r="E5" s="105" t="s">
        <v>299</v>
      </c>
      <c r="F5" s="106" t="s">
        <v>4</v>
      </c>
      <c r="G5" s="107" t="s">
        <v>5</v>
      </c>
      <c r="H5" s="106" t="s">
        <v>6</v>
      </c>
      <c r="I5" s="106" t="s">
        <v>7</v>
      </c>
      <c r="J5" s="107" t="s">
        <v>5</v>
      </c>
      <c r="K5" s="106" t="s">
        <v>6</v>
      </c>
      <c r="L5" s="243" t="s">
        <v>8</v>
      </c>
      <c r="M5" s="246" t="s">
        <v>326</v>
      </c>
      <c r="N5" s="244" t="s">
        <v>330</v>
      </c>
      <c r="O5" s="108" t="s">
        <v>331</v>
      </c>
      <c r="P5" s="109" t="s">
        <v>332</v>
      </c>
      <c r="R5" s="343"/>
    </row>
    <row r="6" spans="2:20" s="197" customFormat="1" ht="27.75" customHeight="1">
      <c r="B6" s="188">
        <v>1</v>
      </c>
      <c r="C6" s="199">
        <f>IF(ISBLANK($E6),"",VLOOKUP($E6,Teilnehmer!$B$4:$K$199,2,0))</f>
        <v>1</v>
      </c>
      <c r="D6" s="199">
        <f>IF(ISBLANK($E6),"",VLOOKUP($E6,Teilnehmer!$B$4:$K$199,3,0))</f>
        <v>5</v>
      </c>
      <c r="E6" s="200">
        <v>54</v>
      </c>
      <c r="F6" s="181" t="str">
        <f>IF(ISBLANK($E6),"",VLOOKUP($E6,Teilnehmer!$B$4:$K$199,4,0))</f>
        <v>Scheidhammer Alois</v>
      </c>
      <c r="G6" s="286">
        <f>IF(ISBLANK($E6),"",VLOOKUP($E6,Teilnehmer!$B$4:$K$199,5,0))</f>
        <v>15610</v>
      </c>
      <c r="H6" s="287" t="str">
        <f>IF(ISBLANK($E6),"",VLOOKUP($E6,Teilnehmer!$B$4:$K$199,6,0))</f>
        <v>MSC Emmersdorf</v>
      </c>
      <c r="I6" s="181" t="str">
        <f>IF(ISBLANK($E6),"",VLOOKUP($E6,Teilnehmer!$B$4:$K$199,7,0))</f>
        <v>Regner August</v>
      </c>
      <c r="J6" s="286">
        <f>IF(ISBLANK($E6),"",VLOOKUP($E6,Teilnehmer!$B$4:$K$199,8,0))</f>
        <v>15609</v>
      </c>
      <c r="K6" s="287" t="str">
        <f>IF(ISBLANK($E6),"",VLOOKUP($E6,Teilnehmer!$B$4:$K$199,9,0))</f>
        <v>MSC Emmersdorf</v>
      </c>
      <c r="L6" s="315" t="str">
        <f>IF(ISBLANK($E6),"",VLOOKUP($E6,Teilnehmer!$B$4:$K$199,10,0))</f>
        <v>Nissan Z350</v>
      </c>
      <c r="M6" s="247">
        <f>IF(ISBLANK($E6),"",IFERROR(VLOOKUP(E6,'G1 K4'!$D$7:$T$46,16,0),VLOOKUP(E6,'G1 K5'!$D$7:$T$73,16,0)))</f>
        <v>1.9828472222222282E-2</v>
      </c>
      <c r="N6" s="245">
        <f>IF(ISBLANK($E6),"",IFERROR(VLOOKUP(E6,'G1 K4'!$D$7:$T$46,17,0),VLOOKUP(E6,'G1 K5'!$D$7:$T$73,17,0)))</f>
        <v>23</v>
      </c>
      <c r="O6" s="201">
        <f>IF(ISBLANK(E6),"",ROUND(10-10*(B6-1)/$J$3,2))</f>
        <v>10</v>
      </c>
      <c r="P6" s="202">
        <f>IF(ISBLANK(E6),"",ROUND(N6+O6,2))</f>
        <v>33</v>
      </c>
      <c r="R6" s="198" t="str">
        <f>IF(ISBLANK($E6),"",IF(M7&gt;M6,"ok","Sortierung A bis Z"))</f>
        <v>ok</v>
      </c>
    </row>
    <row r="7" spans="2:20" s="197" customFormat="1" ht="27.75" customHeight="1">
      <c r="B7" s="188">
        <f>IF(ISBLANK(E7),"",B6+1)</f>
        <v>2</v>
      </c>
      <c r="C7" s="199">
        <f>IF(ISBLANK($E7),"",VLOOKUP($E7,Teilnehmer!$B$4:$K$199,2,0))</f>
        <v>1</v>
      </c>
      <c r="D7" s="199">
        <f>IF(ISBLANK($E7),"",VLOOKUP($E7,Teilnehmer!$B$4:$K$199,3,0))</f>
        <v>5</v>
      </c>
      <c r="E7" s="200">
        <v>55</v>
      </c>
      <c r="F7" s="181" t="str">
        <f>IF(ISBLANK($E7),"",VLOOKUP($E7,Teilnehmer!$B$4:$K$199,4,0))</f>
        <v>Biendl Willibald</v>
      </c>
      <c r="G7" s="286">
        <f>IF(ISBLANK($E7),"",VLOOKUP($E7,Teilnehmer!$B$4:$K$199,5,0))</f>
        <v>14763</v>
      </c>
      <c r="H7" s="287" t="str">
        <f>IF(ISBLANK($E7),"",VLOOKUP($E7,Teilnehmer!$B$4:$K$199,6,0))</f>
        <v>MSC Mamming</v>
      </c>
      <c r="I7" s="181" t="str">
        <f>IF(ISBLANK($E7),"",VLOOKUP($E7,Teilnehmer!$B$4:$K$199,7,0))</f>
        <v>Schwaiger Viktoria</v>
      </c>
      <c r="J7" s="286">
        <f>IF(ISBLANK($E7),"",VLOOKUP($E7,Teilnehmer!$B$4:$K$199,8,0))</f>
        <v>16168</v>
      </c>
      <c r="K7" s="287" t="str">
        <f>IF(ISBLANK($E7),"",VLOOKUP($E7,Teilnehmer!$B$4:$K$199,9,0))</f>
        <v>SCC Grünthal</v>
      </c>
      <c r="L7" s="315" t="str">
        <f>IF(ISBLANK($E7),"",VLOOKUP($E7,Teilnehmer!$B$4:$K$199,10,0))</f>
        <v>BMW 323ti</v>
      </c>
      <c r="M7" s="247">
        <f>IF(ISBLANK($E7),"",IFERROR(VLOOKUP(E7,'G1 K4'!$D$7:$T$46,16,0),VLOOKUP(E7,'G1 K5'!$D$7:$T$73,16,0)))</f>
        <v>2.0067476851851673E-2</v>
      </c>
      <c r="N7" s="245">
        <f>IF(ISBLANK($E7),"",IFERROR(VLOOKUP(E7,'G1 K4'!$D$7:$T$46,17,0),VLOOKUP(E7,'G1 K5'!$D$7:$T$73,17,0)))</f>
        <v>19.670000000000002</v>
      </c>
      <c r="O7" s="201">
        <f t="shared" ref="O7:O22" si="0">IF(ISBLANK(E7),"",ROUND(10-10*(B7-1)/$J$3,2))</f>
        <v>9.41</v>
      </c>
      <c r="P7" s="202">
        <f t="shared" ref="P7:P22" si="1">IF(ISBLANK(E7),"",ROUND(N7+O7,2))</f>
        <v>29.08</v>
      </c>
      <c r="R7" s="198" t="str">
        <f t="shared" ref="R7:R21" si="2">IF(ISBLANK($E7),"",IF(M8&gt;M7,"ok","Sortierung A bis Z"))</f>
        <v>ok</v>
      </c>
    </row>
    <row r="8" spans="2:20" s="197" customFormat="1" ht="27.75" customHeight="1">
      <c r="B8" s="188">
        <f t="shared" ref="B8:B22" si="3">IF(ISBLANK(E8),"",B7+1)</f>
        <v>3</v>
      </c>
      <c r="C8" s="199">
        <f>IF(ISBLANK($E8),"",VLOOKUP($E8,Teilnehmer!$B$4:$K$199,2,0))</f>
        <v>1</v>
      </c>
      <c r="D8" s="199">
        <f>IF(ISBLANK($E8),"",VLOOKUP($E8,Teilnehmer!$B$4:$K$199,3,0))</f>
        <v>4</v>
      </c>
      <c r="E8" s="200">
        <v>70</v>
      </c>
      <c r="F8" s="181" t="str">
        <f>IF(ISBLANK($E8),"",VLOOKUP($E8,Teilnehmer!$B$4:$K$199,4,0))</f>
        <v>Schuhmacher Helmut</v>
      </c>
      <c r="G8" s="286" t="str">
        <f>IF(ISBLANK($E8),"",VLOOKUP($E8,Teilnehmer!$B$4:$K$199,5,0))</f>
        <v>-</v>
      </c>
      <c r="H8" s="287" t="str">
        <f>IF(ISBLANK($E8),"",VLOOKUP($E8,Teilnehmer!$B$4:$K$199,6,0))</f>
        <v>ADAC OC Schwäbisch Hall</v>
      </c>
      <c r="I8" s="181" t="str">
        <f>IF(ISBLANK($E8),"",VLOOKUP($E8,Teilnehmer!$B$4:$K$199,7,0))</f>
        <v>Schuhmacher Marcel</v>
      </c>
      <c r="J8" s="286" t="str">
        <f>IF(ISBLANK($E8),"",VLOOKUP($E8,Teilnehmer!$B$4:$K$199,8,0))</f>
        <v>-</v>
      </c>
      <c r="K8" s="287" t="str">
        <f>IF(ISBLANK($E8),"",VLOOKUP($E8,Teilnehmer!$B$4:$K$199,9,0))</f>
        <v>ADAC OC Schwäbisch Hall</v>
      </c>
      <c r="L8" s="315" t="str">
        <f>IF(ISBLANK($E8),"",VLOOKUP($E8,Teilnehmer!$B$4:$K$199,10,0))</f>
        <v>BMW E36 318is</v>
      </c>
      <c r="M8" s="247">
        <f>IF(ISBLANK($E8),"",IFERROR(VLOOKUP(E8,'G1 K4'!$D$7:$T$46,16,0),VLOOKUP(E8,'G1 K5'!$D$7:$T$73,16,0)))</f>
        <v>2.1025462962963148E-2</v>
      </c>
      <c r="N8" s="245">
        <f>IF(ISBLANK($E8),"",IFERROR(VLOOKUP(E8,'G1 K4'!$D$7:$T$46,17,0),VLOOKUP(E8,'G1 K5'!$D$7:$T$73,17,0)))</f>
        <v>23</v>
      </c>
      <c r="O8" s="201">
        <f t="shared" si="0"/>
        <v>8.82</v>
      </c>
      <c r="P8" s="202">
        <f t="shared" si="1"/>
        <v>31.82</v>
      </c>
      <c r="R8" s="198" t="str">
        <f t="shared" si="2"/>
        <v>ok</v>
      </c>
    </row>
    <row r="9" spans="2:20" s="197" customFormat="1" ht="27.75" customHeight="1">
      <c r="B9" s="188">
        <f t="shared" si="3"/>
        <v>4</v>
      </c>
      <c r="C9" s="199">
        <f>IF(ISBLANK($E9),"",VLOOKUP($E9,Teilnehmer!$B$4:$K$199,2,0))</f>
        <v>1</v>
      </c>
      <c r="D9" s="199">
        <f>IF(ISBLANK($E9),"",VLOOKUP($E9,Teilnehmer!$B$4:$K$199,3,0))</f>
        <v>4</v>
      </c>
      <c r="E9" s="200">
        <v>63</v>
      </c>
      <c r="F9" s="181" t="str">
        <f>IF(ISBLANK($E9),"",VLOOKUP($E9,Teilnehmer!$B$4:$K$199,4,0))</f>
        <v>Schachtner Johann</v>
      </c>
      <c r="G9" s="286">
        <f>IF(ISBLANK($E9),"",VLOOKUP($E9,Teilnehmer!$B$4:$K$199,5,0))</f>
        <v>12813</v>
      </c>
      <c r="H9" s="287" t="str">
        <f>IF(ISBLANK($E9),"",VLOOKUP($E9,Teilnehmer!$B$4:$K$199,6,0))</f>
        <v>MSC Emmersdorf</v>
      </c>
      <c r="I9" s="181" t="str">
        <f>IF(ISBLANK($E9),"",VLOOKUP($E9,Teilnehmer!$B$4:$K$199,7,0))</f>
        <v>Haller Melanie</v>
      </c>
      <c r="J9" s="286">
        <f>IF(ISBLANK($E9),"",VLOOKUP($E9,Teilnehmer!$B$4:$K$199,8,0))</f>
        <v>15542</v>
      </c>
      <c r="K9" s="287" t="str">
        <f>IF(ISBLANK($E9),"",VLOOKUP($E9,Teilnehmer!$B$4:$K$199,9,0))</f>
        <v>MSC Mamming / SCC Grünthal</v>
      </c>
      <c r="L9" s="315" t="str">
        <f>IF(ISBLANK($E9),"",VLOOKUP($E9,Teilnehmer!$B$4:$K$199,10,0))</f>
        <v>Mazda MX 5</v>
      </c>
      <c r="M9" s="247">
        <f>IF(ISBLANK($E9),"",IFERROR(VLOOKUP(E9,'G1 K4'!$D$7:$T$46,16,0),VLOOKUP(E9,'G1 K5'!$D$7:$T$73,16,0)))</f>
        <v>2.1122453703703803E-2</v>
      </c>
      <c r="N9" s="245">
        <f>IF(ISBLANK($E9),"",IFERROR(VLOOKUP(E9,'G1 K4'!$D$7:$T$46,17,0),VLOOKUP(E9,'G1 K5'!$D$7:$T$73,17,0)))</f>
        <v>21.18</v>
      </c>
      <c r="O9" s="201">
        <f t="shared" si="0"/>
        <v>8.24</v>
      </c>
      <c r="P9" s="202">
        <f t="shared" si="1"/>
        <v>29.42</v>
      </c>
      <c r="R9" s="198" t="str">
        <f t="shared" si="2"/>
        <v>ok</v>
      </c>
    </row>
    <row r="10" spans="2:20" s="197" customFormat="1" ht="27.75" customHeight="1">
      <c r="B10" s="188">
        <f t="shared" si="3"/>
        <v>5</v>
      </c>
      <c r="C10" s="199">
        <f>IF(ISBLANK($E10),"",VLOOKUP($E10,Teilnehmer!$B$4:$K$199,2,0))</f>
        <v>1</v>
      </c>
      <c r="D10" s="199">
        <f>IF(ISBLANK($E10),"",VLOOKUP($E10,Teilnehmer!$B$4:$K$199,3,0))</f>
        <v>5</v>
      </c>
      <c r="E10" s="200">
        <v>59</v>
      </c>
      <c r="F10" s="181" t="str">
        <f>IF(ISBLANK($E10),"",VLOOKUP($E10,Teilnehmer!$B$4:$K$199,4,0))</f>
        <v>Stör Andreas</v>
      </c>
      <c r="G10" s="286">
        <f>IF(ISBLANK($E10),"",VLOOKUP($E10,Teilnehmer!$B$4:$K$199,5,0))</f>
        <v>16415</v>
      </c>
      <c r="H10" s="287" t="str">
        <f>IF(ISBLANK($E10),"",VLOOKUP($E10,Teilnehmer!$B$4:$K$199,6,0))</f>
        <v>AC Gunzenhausen</v>
      </c>
      <c r="I10" s="181" t="str">
        <f>IF(ISBLANK($E10),"",VLOOKUP($E10,Teilnehmer!$B$4:$K$199,7,0))</f>
        <v>Haderlein Jan</v>
      </c>
      <c r="J10" s="286">
        <f>IF(ISBLANK($E10),"",VLOOKUP($E10,Teilnehmer!$B$4:$K$199,8,0))</f>
        <v>0</v>
      </c>
      <c r="K10" s="287" t="str">
        <f>IF(ISBLANK($E10),"",VLOOKUP($E10,Teilnehmer!$B$4:$K$199,9,0))</f>
        <v>AC Gunzenhausen</v>
      </c>
      <c r="L10" s="315" t="str">
        <f>IF(ISBLANK($E10),"",VLOOKUP($E10,Teilnehmer!$B$4:$K$199,10,0))</f>
        <v>BMW 323ti</v>
      </c>
      <c r="M10" s="247">
        <f>IF(ISBLANK($E10),"",IFERROR(VLOOKUP(E10,'G1 K4'!$D$7:$T$46,16,0),VLOOKUP(E10,'G1 K5'!$D$7:$T$73,16,0)))</f>
        <v>2.1171412037037041E-2</v>
      </c>
      <c r="N10" s="245">
        <f>IF(ISBLANK($E10),"",IFERROR(VLOOKUP(E10,'G1 K4'!$D$7:$T$46,17,0),VLOOKUP(E10,'G1 K5'!$D$7:$T$73,17,0)))</f>
        <v>16.329999999999998</v>
      </c>
      <c r="O10" s="201">
        <f t="shared" si="0"/>
        <v>7.65</v>
      </c>
      <c r="P10" s="202">
        <f t="shared" si="1"/>
        <v>23.98</v>
      </c>
      <c r="R10" s="198" t="str">
        <f t="shared" si="2"/>
        <v>ok</v>
      </c>
    </row>
    <row r="11" spans="2:20" s="197" customFormat="1" ht="27.75" customHeight="1">
      <c r="B11" s="188">
        <f t="shared" si="3"/>
        <v>6</v>
      </c>
      <c r="C11" s="199">
        <f>IF(ISBLANK($E11),"",VLOOKUP($E11,Teilnehmer!$B$4:$K$199,2,0))</f>
        <v>1</v>
      </c>
      <c r="D11" s="199">
        <f>IF(ISBLANK($E11),"",VLOOKUP($E11,Teilnehmer!$B$4:$K$199,3,0))</f>
        <v>4</v>
      </c>
      <c r="E11" s="200">
        <v>65</v>
      </c>
      <c r="F11" s="181" t="str">
        <f>IF(ISBLANK($E11),"",VLOOKUP($E11,Teilnehmer!$B$4:$K$199,4,0))</f>
        <v>Meier Georg</v>
      </c>
      <c r="G11" s="286">
        <f>IF(ISBLANK($E11),"",VLOOKUP($E11,Teilnehmer!$B$4:$K$199,5,0))</f>
        <v>16425</v>
      </c>
      <c r="H11" s="287" t="str">
        <f>IF(ISBLANK($E11),"",VLOOKUP($E11,Teilnehmer!$B$4:$K$199,6,0))</f>
        <v>SWF Weidwies</v>
      </c>
      <c r="I11" s="181" t="str">
        <f>IF(ISBLANK($E11),"",VLOOKUP($E11,Teilnehmer!$B$4:$K$199,7,0))</f>
        <v>Eder Markus</v>
      </c>
      <c r="J11" s="286">
        <f>IF(ISBLANK($E11),"",VLOOKUP($E11,Teilnehmer!$B$4:$K$199,8,0))</f>
        <v>16426</v>
      </c>
      <c r="K11" s="287" t="str">
        <f>IF(ISBLANK($E11),"",VLOOKUP($E11,Teilnehmer!$B$4:$K$199,9,0))</f>
        <v>SWF Weidwies</v>
      </c>
      <c r="L11" s="315" t="str">
        <f>IF(ISBLANK($E11),"",VLOOKUP($E11,Teilnehmer!$B$4:$K$199,10,0))</f>
        <v>BMW 318ti</v>
      </c>
      <c r="M11" s="247">
        <f>IF(ISBLANK($E11),"",IFERROR(VLOOKUP(E11,'G1 K4'!$D$7:$T$46,16,0),VLOOKUP(E11,'G1 K5'!$D$7:$T$73,16,0)))</f>
        <v>2.1172685185185336E-2</v>
      </c>
      <c r="N11" s="245">
        <f>IF(ISBLANK($E11),"",IFERROR(VLOOKUP(E11,'G1 K4'!$D$7:$T$46,17,0),VLOOKUP(E11,'G1 K5'!$D$7:$T$73,17,0)))</f>
        <v>19.36</v>
      </c>
      <c r="O11" s="201">
        <f t="shared" si="0"/>
        <v>7.06</v>
      </c>
      <c r="P11" s="202">
        <f t="shared" si="1"/>
        <v>26.42</v>
      </c>
      <c r="R11" s="198" t="str">
        <f t="shared" si="2"/>
        <v>ok</v>
      </c>
    </row>
    <row r="12" spans="2:20" s="197" customFormat="1" ht="27.75" customHeight="1">
      <c r="B12" s="188">
        <f t="shared" si="3"/>
        <v>7</v>
      </c>
      <c r="C12" s="199">
        <f>IF(ISBLANK($E12),"",VLOOKUP($E12,Teilnehmer!$B$4:$K$199,2,0))</f>
        <v>1</v>
      </c>
      <c r="D12" s="199">
        <f>IF(ISBLANK($E12),"",VLOOKUP($E12,Teilnehmer!$B$4:$K$199,3,0))</f>
        <v>4</v>
      </c>
      <c r="E12" s="200">
        <v>62</v>
      </c>
      <c r="F12" s="181" t="str">
        <f>IF(ISBLANK($E12),"",VLOOKUP($E12,Teilnehmer!$B$4:$K$199,4,0))</f>
        <v>Neumaier Martin</v>
      </c>
      <c r="G12" s="286">
        <f>IF(ISBLANK($E12),"",VLOOKUP($E12,Teilnehmer!$B$4:$K$199,5,0))</f>
        <v>16132</v>
      </c>
      <c r="H12" s="287" t="str">
        <f>IF(ISBLANK($E12),"",VLOOKUP($E12,Teilnehmer!$B$4:$K$199,6,0))</f>
        <v>MSC Mamming</v>
      </c>
      <c r="I12" s="181" t="str">
        <f>IF(ISBLANK($E12),"",VLOOKUP($E12,Teilnehmer!$B$4:$K$199,7,0))</f>
        <v>Neumaier Martina</v>
      </c>
      <c r="J12" s="286">
        <f>IF(ISBLANK($E12),"",VLOOKUP($E12,Teilnehmer!$B$4:$K$199,8,0))</f>
        <v>16297</v>
      </c>
      <c r="K12" s="287" t="str">
        <f>IF(ISBLANK($E12),"",VLOOKUP($E12,Teilnehmer!$B$4:$K$199,9,0))</f>
        <v>MSC Mamming</v>
      </c>
      <c r="L12" s="315" t="str">
        <f>IF(ISBLANK($E12),"",VLOOKUP($E12,Teilnehmer!$B$4:$K$199,10,0))</f>
        <v>VW Golf II 16V</v>
      </c>
      <c r="M12" s="247">
        <f>IF(ISBLANK($E12),"",IFERROR(VLOOKUP(E12,'G1 K4'!$D$7:$T$46,16,0),VLOOKUP(E12,'G1 K5'!$D$7:$T$73,16,0)))</f>
        <v>2.1315393518518522E-2</v>
      </c>
      <c r="N12" s="245">
        <f>IF(ISBLANK($E12),"",IFERROR(VLOOKUP(E12,'G1 K4'!$D$7:$T$46,17,0),VLOOKUP(E12,'G1 K5'!$D$7:$T$73,17,0)))</f>
        <v>17.55</v>
      </c>
      <c r="O12" s="201">
        <f t="shared" si="0"/>
        <v>6.47</v>
      </c>
      <c r="P12" s="202">
        <f t="shared" si="1"/>
        <v>24.02</v>
      </c>
      <c r="R12" s="198" t="str">
        <f t="shared" si="2"/>
        <v>ok</v>
      </c>
    </row>
    <row r="13" spans="2:20" s="197" customFormat="1" ht="27.75" customHeight="1">
      <c r="B13" s="188">
        <f t="shared" si="3"/>
        <v>8</v>
      </c>
      <c r="C13" s="199">
        <f>IF(ISBLANK($E13),"",VLOOKUP($E13,Teilnehmer!$B$4:$K$199,2,0))</f>
        <v>1</v>
      </c>
      <c r="D13" s="199">
        <f>IF(ISBLANK($E13),"",VLOOKUP($E13,Teilnehmer!$B$4:$K$199,3,0))</f>
        <v>5</v>
      </c>
      <c r="E13" s="200">
        <v>56</v>
      </c>
      <c r="F13" s="181" t="str">
        <f>IF(ISBLANK($E13),"",VLOOKUP($E13,Teilnehmer!$B$4:$K$199,4,0))</f>
        <v>Knese Fabian</v>
      </c>
      <c r="G13" s="286">
        <f>IF(ISBLANK($E13),"",VLOOKUP($E13,Teilnehmer!$B$4:$K$199,5,0))</f>
        <v>15997</v>
      </c>
      <c r="H13" s="287" t="str">
        <f>IF(ISBLANK($E13),"",VLOOKUP($E13,Teilnehmer!$B$4:$K$199,6,0))</f>
        <v>UMC Ulm / MC Einsingen / MSC Mamming</v>
      </c>
      <c r="I13" s="181" t="str">
        <f>IF(ISBLANK($E13),"",VLOOKUP($E13,Teilnehmer!$B$4:$K$199,7,0))</f>
        <v>Sancakli Dean</v>
      </c>
      <c r="J13" s="286">
        <f>IF(ISBLANK($E13),"",VLOOKUP($E13,Teilnehmer!$B$4:$K$199,8,0))</f>
        <v>16625</v>
      </c>
      <c r="K13" s="287" t="str">
        <f>IF(ISBLANK($E13),"",VLOOKUP($E13,Teilnehmer!$B$4:$K$199,9,0))</f>
        <v>-</v>
      </c>
      <c r="L13" s="315" t="str">
        <f>IF(ISBLANK($E13),"",VLOOKUP($E13,Teilnehmer!$B$4:$K$199,10,0))</f>
        <v>BMW E36</v>
      </c>
      <c r="M13" s="247">
        <f>IF(ISBLANK($E13),"",IFERROR(VLOOKUP(E13,'G1 K4'!$D$7:$T$46,16,0),VLOOKUP(E13,'G1 K5'!$D$7:$T$73,16,0)))</f>
        <v>2.1454166666666608E-2</v>
      </c>
      <c r="N13" s="245">
        <f>IF(ISBLANK($E13),"",IFERROR(VLOOKUP(E13,'G1 K4'!$D$7:$T$46,17,0),VLOOKUP(E13,'G1 K5'!$D$7:$T$73,17,0)))</f>
        <v>13</v>
      </c>
      <c r="O13" s="201">
        <f t="shared" si="0"/>
        <v>5.88</v>
      </c>
      <c r="P13" s="202">
        <f t="shared" si="1"/>
        <v>18.88</v>
      </c>
      <c r="R13" s="198" t="str">
        <f t="shared" si="2"/>
        <v>ok</v>
      </c>
    </row>
    <row r="14" spans="2:20" s="197" customFormat="1" ht="27.75" customHeight="1">
      <c r="B14" s="188">
        <f t="shared" si="3"/>
        <v>9</v>
      </c>
      <c r="C14" s="199">
        <f>IF(ISBLANK($E14),"",VLOOKUP($E14,Teilnehmer!$B$4:$K$199,2,0))</f>
        <v>1</v>
      </c>
      <c r="D14" s="199">
        <f>IF(ISBLANK($E14),"",VLOOKUP($E14,Teilnehmer!$B$4:$K$199,3,0))</f>
        <v>4</v>
      </c>
      <c r="E14" s="200">
        <v>66</v>
      </c>
      <c r="F14" s="181" t="str">
        <f>IF(ISBLANK($E14),"",VLOOKUP($E14,Teilnehmer!$B$4:$K$199,4,0))</f>
        <v>Oberneder Josef</v>
      </c>
      <c r="G14" s="286">
        <f>IF(ISBLANK($E14),"",VLOOKUP($E14,Teilnehmer!$B$4:$K$199,5,0))</f>
        <v>14172</v>
      </c>
      <c r="H14" s="287" t="str">
        <f>IF(ISBLANK($E14),"",VLOOKUP($E14,Teilnehmer!$B$4:$K$199,6,0))</f>
        <v>SWF Weidwies</v>
      </c>
      <c r="I14" s="181" t="str">
        <f>IF(ISBLANK($E14),"",VLOOKUP($E14,Teilnehmer!$B$4:$K$199,7,0))</f>
        <v>Krenn Christina</v>
      </c>
      <c r="J14" s="286">
        <f>IF(ISBLANK($E14),"",VLOOKUP($E14,Teilnehmer!$B$4:$K$199,8,0))</f>
        <v>14748</v>
      </c>
      <c r="K14" s="287" t="str">
        <f>IF(ISBLANK($E14),"",VLOOKUP($E14,Teilnehmer!$B$4:$K$199,9,0))</f>
        <v>SWF Weidwies</v>
      </c>
      <c r="L14" s="315" t="str">
        <f>IF(ISBLANK($E14),"",VLOOKUP($E14,Teilnehmer!$B$4:$K$199,10,0))</f>
        <v>VW Golf 2</v>
      </c>
      <c r="M14" s="247">
        <f>IF(ISBLANK($E14),"",IFERROR(VLOOKUP(E14,'G1 K4'!$D$7:$T$46,16,0),VLOOKUP(E14,'G1 K5'!$D$7:$T$73,16,0)))</f>
        <v>2.1626620370370331E-2</v>
      </c>
      <c r="N14" s="245">
        <f>IF(ISBLANK($E14),"",IFERROR(VLOOKUP(E14,'G1 K4'!$D$7:$T$46,17,0),VLOOKUP(E14,'G1 K5'!$D$7:$T$73,17,0)))</f>
        <v>15.73</v>
      </c>
      <c r="O14" s="201">
        <f t="shared" si="0"/>
        <v>5.29</v>
      </c>
      <c r="P14" s="202">
        <f t="shared" si="1"/>
        <v>21.02</v>
      </c>
      <c r="R14" s="198" t="str">
        <f t="shared" si="2"/>
        <v>ok</v>
      </c>
    </row>
    <row r="15" spans="2:20" s="197" customFormat="1" ht="27.75" customHeight="1">
      <c r="B15" s="188">
        <f t="shared" si="3"/>
        <v>10</v>
      </c>
      <c r="C15" s="199">
        <f>IF(ISBLANK($E15),"",VLOOKUP($E15,Teilnehmer!$B$4:$K$199,2,0))</f>
        <v>1</v>
      </c>
      <c r="D15" s="199">
        <f>IF(ISBLANK($E15),"",VLOOKUP($E15,Teilnehmer!$B$4:$K$199,3,0))</f>
        <v>4</v>
      </c>
      <c r="E15" s="200">
        <v>61</v>
      </c>
      <c r="F15" s="181" t="str">
        <f>IF(ISBLANK($E15),"",VLOOKUP($E15,Teilnehmer!$B$4:$K$199,4,0))</f>
        <v>Schulze Enrico</v>
      </c>
      <c r="G15" s="286">
        <f>IF(ISBLANK($E15),"",VLOOKUP($E15,Teilnehmer!$B$4:$K$199,5,0))</f>
        <v>15209</v>
      </c>
      <c r="H15" s="287" t="str">
        <f>IF(ISBLANK($E15),"",VLOOKUP($E15,Teilnehmer!$B$4:$K$199,6,0))</f>
        <v>Boxenstop Regensburg</v>
      </c>
      <c r="I15" s="181" t="str">
        <f>IF(ISBLANK($E15),"",VLOOKUP($E15,Teilnehmer!$B$4:$K$199,7,0))</f>
        <v>Lockstet Sebastian</v>
      </c>
      <c r="J15" s="286">
        <f>IF(ISBLANK($E15),"",VLOOKUP($E15,Teilnehmer!$B$4:$K$199,8,0))</f>
        <v>14869</v>
      </c>
      <c r="K15" s="287" t="str">
        <f>IF(ISBLANK($E15),"",VLOOKUP($E15,Teilnehmer!$B$4:$K$199,9,0))</f>
        <v>VEB Konsum Genossenschaft Mücheln</v>
      </c>
      <c r="L15" s="315" t="str">
        <f>IF(ISBLANK($E15),"",VLOOKUP($E15,Teilnehmer!$B$4:$K$199,10,0))</f>
        <v>Subaru Impreza</v>
      </c>
      <c r="M15" s="247">
        <f>IF(ISBLANK($E15),"",IFERROR(VLOOKUP(E15,'G1 K4'!$D$7:$T$46,16,0),VLOOKUP(E15,'G1 K5'!$D$7:$T$73,16,0)))</f>
        <v>2.2151388888888734E-2</v>
      </c>
      <c r="N15" s="245">
        <f>IF(ISBLANK($E15),"",IFERROR(VLOOKUP(E15,'G1 K4'!$D$7:$T$46,17,0),VLOOKUP(E15,'G1 K5'!$D$7:$T$73,17,0)))</f>
        <v>13.91</v>
      </c>
      <c r="O15" s="201">
        <f t="shared" si="0"/>
        <v>4.71</v>
      </c>
      <c r="P15" s="202">
        <f t="shared" si="1"/>
        <v>18.62</v>
      </c>
      <c r="R15" s="198" t="str">
        <f t="shared" si="2"/>
        <v>ok</v>
      </c>
    </row>
    <row r="16" spans="2:20" s="197" customFormat="1" ht="27.75" customHeight="1">
      <c r="B16" s="188">
        <f t="shared" si="3"/>
        <v>11</v>
      </c>
      <c r="C16" s="199">
        <f>IF(ISBLANK($E16),"",VLOOKUP($E16,Teilnehmer!$B$4:$K$199,2,0))</f>
        <v>1</v>
      </c>
      <c r="D16" s="199">
        <f>IF(ISBLANK($E16),"",VLOOKUP($E16,Teilnehmer!$B$4:$K$199,3,0))</f>
        <v>4</v>
      </c>
      <c r="E16" s="200">
        <v>68</v>
      </c>
      <c r="F16" s="181" t="str">
        <f>IF(ISBLANK($E16),"",VLOOKUP($E16,Teilnehmer!$B$4:$K$199,4,0))</f>
        <v>Deisinger Justin</v>
      </c>
      <c r="G16" s="286" t="str">
        <f>IF(ISBLANK($E16),"",VLOOKUP($E16,Teilnehmer!$B$4:$K$199,5,0))</f>
        <v>-</v>
      </c>
      <c r="H16" s="287" t="str">
        <f>IF(ISBLANK($E16),"",VLOOKUP($E16,Teilnehmer!$B$4:$K$199,6,0))</f>
        <v>Deisinger Motorsport</v>
      </c>
      <c r="I16" s="181" t="str">
        <f>IF(ISBLANK($E16),"",VLOOKUP($E16,Teilnehmer!$B$4:$K$199,7,0))</f>
        <v>Ochs Maximilian</v>
      </c>
      <c r="J16" s="286" t="str">
        <f>IF(ISBLANK($E16),"",VLOOKUP($E16,Teilnehmer!$B$4:$K$199,8,0))</f>
        <v>-</v>
      </c>
      <c r="K16" s="287" t="str">
        <f>IF(ISBLANK($E16),"",VLOOKUP($E16,Teilnehmer!$B$4:$K$199,9,0))</f>
        <v>Deisinger Motorsport</v>
      </c>
      <c r="L16" s="315" t="str">
        <f>IF(ISBLANK($E16),"",VLOOKUP($E16,Teilnehmer!$B$4:$K$199,10,0))</f>
        <v>Opel Kadett E GSi</v>
      </c>
      <c r="M16" s="247">
        <f>IF(ISBLANK($E16),"",IFERROR(VLOOKUP(E16,'G1 K4'!$D$7:$T$46,16,0),VLOOKUP(E16,'G1 K5'!$D$7:$T$73,16,0)))</f>
        <v>2.2297685185185268E-2</v>
      </c>
      <c r="N16" s="245">
        <f>IF(ISBLANK($E16),"",IFERROR(VLOOKUP(E16,'G1 K4'!$D$7:$T$46,17,0),VLOOKUP(E16,'G1 K5'!$D$7:$T$73,17,0)))</f>
        <v>12.09</v>
      </c>
      <c r="O16" s="201">
        <f t="shared" si="0"/>
        <v>4.12</v>
      </c>
      <c r="P16" s="203">
        <f t="shared" si="1"/>
        <v>16.21</v>
      </c>
      <c r="R16" s="198" t="str">
        <f t="shared" si="2"/>
        <v>ok</v>
      </c>
    </row>
    <row r="17" spans="2:18" s="197" customFormat="1" ht="27.75" customHeight="1">
      <c r="B17" s="188">
        <f t="shared" si="3"/>
        <v>12</v>
      </c>
      <c r="C17" s="199">
        <f>IF(ISBLANK($E17),"",VLOOKUP($E17,Teilnehmer!$B$4:$K$199,2,0))</f>
        <v>1</v>
      </c>
      <c r="D17" s="199">
        <f>IF(ISBLANK($E17),"",VLOOKUP($E17,Teilnehmer!$B$4:$K$199,3,0))</f>
        <v>4</v>
      </c>
      <c r="E17" s="200">
        <v>64</v>
      </c>
      <c r="F17" s="181" t="str">
        <f>IF(ISBLANK($E17),"",VLOOKUP($E17,Teilnehmer!$B$4:$K$199,4,0))</f>
        <v>Leidel Stefan</v>
      </c>
      <c r="G17" s="286">
        <f>IF(ISBLANK($E17),"",VLOOKUP($E17,Teilnehmer!$B$4:$K$199,5,0))</f>
        <v>15498</v>
      </c>
      <c r="H17" s="287" t="str">
        <f>IF(ISBLANK($E17),"",VLOOKUP($E17,Teilnehmer!$B$4:$K$199,6,0))</f>
        <v>-</v>
      </c>
      <c r="I17" s="181" t="str">
        <f>IF(ISBLANK($E17),"",VLOOKUP($E17,Teilnehmer!$B$4:$K$199,7,0))</f>
        <v>Nemeth Christian</v>
      </c>
      <c r="J17" s="286">
        <f>IF(ISBLANK($E17),"",VLOOKUP($E17,Teilnehmer!$B$4:$K$199,8,0))</f>
        <v>16424</v>
      </c>
      <c r="K17" s="287" t="str">
        <f>IF(ISBLANK($E17),"",VLOOKUP($E17,Teilnehmer!$B$4:$K$199,9,0))</f>
        <v>-</v>
      </c>
      <c r="L17" s="315" t="str">
        <f>IF(ISBLANK($E17),"",VLOOKUP($E17,Teilnehmer!$B$4:$K$199,10,0))</f>
        <v>BMW E30 318IS</v>
      </c>
      <c r="M17" s="247">
        <f>IF(ISBLANK($E17),"",IFERROR(VLOOKUP(E17,'G1 K4'!$D$7:$T$46,16,0),VLOOKUP(E17,'G1 K5'!$D$7:$T$73,16,0)))</f>
        <v>2.2403819444444584E-2</v>
      </c>
      <c r="N17" s="245">
        <f>IF(ISBLANK($E17),"",IFERROR(VLOOKUP(E17,'G1 K4'!$D$7:$T$46,17,0),VLOOKUP(E17,'G1 K5'!$D$7:$T$73,17,0)))</f>
        <v>10.27</v>
      </c>
      <c r="O17" s="201">
        <f t="shared" si="0"/>
        <v>3.53</v>
      </c>
      <c r="P17" s="203">
        <f t="shared" si="1"/>
        <v>13.8</v>
      </c>
      <c r="R17" s="198" t="str">
        <f>IF(ISBLANK($E17),"",IF(M21&gt;M17,"ok","Sortierung A bis Z"))</f>
        <v>ok</v>
      </c>
    </row>
    <row r="18" spans="2:18" s="197" customFormat="1" ht="27.75" customHeight="1">
      <c r="B18" s="188">
        <f t="shared" ref="B18:B21" si="4">IF(ISBLANK(E18),"",B17+1)</f>
        <v>13</v>
      </c>
      <c r="C18" s="199">
        <f>IF(ISBLANK($E18),"",VLOOKUP($E18,Teilnehmer!$B$4:$K$199,2,0))</f>
        <v>1</v>
      </c>
      <c r="D18" s="199">
        <f>IF(ISBLANK($E18),"",VLOOKUP($E18,Teilnehmer!$B$4:$K$199,3,0))</f>
        <v>5</v>
      </c>
      <c r="E18" s="200">
        <v>58</v>
      </c>
      <c r="F18" s="181" t="str">
        <f>IF(ISBLANK($E18),"",VLOOKUP($E18,Teilnehmer!$B$4:$K$199,4,0))</f>
        <v>Kühnlein Matthias</v>
      </c>
      <c r="G18" s="286">
        <f>IF(ISBLANK($E18),"",VLOOKUP($E18,Teilnehmer!$B$4:$K$199,5,0))</f>
        <v>16416</v>
      </c>
      <c r="H18" s="287" t="str">
        <f>IF(ISBLANK($E18),"",VLOOKUP($E18,Teilnehmer!$B$4:$K$199,6,0))</f>
        <v>AC Gunzenhausen</v>
      </c>
      <c r="I18" s="181" t="str">
        <f>IF(ISBLANK($E18),"",VLOOKUP($E18,Teilnehmer!$B$4:$K$199,7,0))</f>
        <v>Funk Christian</v>
      </c>
      <c r="J18" s="286">
        <f>IF(ISBLANK($E18),"",VLOOKUP($E18,Teilnehmer!$B$4:$K$199,8,0))</f>
        <v>13818</v>
      </c>
      <c r="K18" s="287" t="str">
        <f>IF(ISBLANK($E18),"",VLOOKUP($E18,Teilnehmer!$B$4:$K$199,9,0))</f>
        <v>AC Gunzenhausen</v>
      </c>
      <c r="L18" s="315" t="str">
        <f>IF(ISBLANK($E18),"",VLOOKUP($E18,Teilnehmer!$B$4:$K$199,10,0))</f>
        <v>Mercedes-Benz C230 Sportcoupe</v>
      </c>
      <c r="M18" s="247">
        <f>IF(ISBLANK($E18),"",IFERROR(VLOOKUP(E18,'G1 K4'!$D$7:$T$46,16,0),VLOOKUP(E18,'G1 K5'!$D$7:$T$73,16,0)))</f>
        <v>2.272395833333346E-2</v>
      </c>
      <c r="N18" s="245">
        <f>IF(ISBLANK($E18),"",IFERROR(VLOOKUP(E18,'G1 K4'!$D$7:$T$46,17,0),VLOOKUP(E18,'G1 K5'!$D$7:$T$73,17,0)))</f>
        <v>9.67</v>
      </c>
      <c r="O18" s="201">
        <f t="shared" ref="O18:O21" si="5">IF(ISBLANK(E18),"",ROUND(10-10*(B18-1)/$J$3,2))</f>
        <v>2.94</v>
      </c>
      <c r="P18" s="203">
        <f t="shared" ref="P18:P21" si="6">IF(ISBLANK(E18),"",ROUND(N18+O18,2))</f>
        <v>12.61</v>
      </c>
      <c r="R18" s="198" t="str">
        <f t="shared" ref="R18:R22" si="7">IF(ISBLANK($E18),"",IF(M22&gt;M18,"ok","Sortierung A bis Z"))</f>
        <v>ok</v>
      </c>
    </row>
    <row r="19" spans="2:18" s="197" customFormat="1" ht="27.75" customHeight="1">
      <c r="B19" s="188">
        <f t="shared" si="4"/>
        <v>14</v>
      </c>
      <c r="C19" s="199">
        <f>IF(ISBLANK($E19),"",VLOOKUP($E19,Teilnehmer!$B$4:$K$199,2,0))</f>
        <v>1</v>
      </c>
      <c r="D19" s="199">
        <f>IF(ISBLANK($E19),"",VLOOKUP($E19,Teilnehmer!$B$4:$K$199,3,0))</f>
        <v>4</v>
      </c>
      <c r="E19" s="200">
        <v>71</v>
      </c>
      <c r="F19" s="181" t="str">
        <f>IF(ISBLANK($E19),"",VLOOKUP($E19,Teilnehmer!$B$4:$K$199,4,0))</f>
        <v>Ateia Tarek</v>
      </c>
      <c r="G19" s="286" t="str">
        <f>IF(ISBLANK($E19),"",VLOOKUP($E19,Teilnehmer!$B$4:$K$199,5,0))</f>
        <v>-</v>
      </c>
      <c r="H19" s="287" t="str">
        <f>IF(ISBLANK($E19),"",VLOOKUP($E19,Teilnehmer!$B$4:$K$199,6,0))</f>
        <v>-</v>
      </c>
      <c r="I19" s="181" t="str">
        <f>IF(ISBLANK($E19),"",VLOOKUP($E19,Teilnehmer!$B$4:$K$199,7,0))</f>
        <v>Spiske Andreas</v>
      </c>
      <c r="J19" s="286" t="str">
        <f>IF(ISBLANK($E19),"",VLOOKUP($E19,Teilnehmer!$B$4:$K$199,8,0))</f>
        <v>-</v>
      </c>
      <c r="K19" s="287" t="str">
        <f>IF(ISBLANK($E19),"",VLOOKUP($E19,Teilnehmer!$B$4:$K$199,9,0))</f>
        <v>-</v>
      </c>
      <c r="L19" s="315" t="str">
        <f>IF(ISBLANK($E19),"",VLOOKUP($E19,Teilnehmer!$B$4:$K$199,10,0))</f>
        <v>BMW 318ti</v>
      </c>
      <c r="M19" s="247">
        <f>IF(ISBLANK($E19),"",IFERROR(VLOOKUP(E19,'G1 K4'!$D$7:$T$46,16,0),VLOOKUP(E19,'G1 K5'!$D$7:$T$73,16,0)))</f>
        <v>2.2732291666666463E-2</v>
      </c>
      <c r="N19" s="245">
        <f>IF(ISBLANK($E19),"",IFERROR(VLOOKUP(E19,'G1 K4'!$D$7:$T$46,17,0),VLOOKUP(E19,'G1 K5'!$D$7:$T$73,17,0)))</f>
        <v>8.4499999999999993</v>
      </c>
      <c r="O19" s="201">
        <f t="shared" si="5"/>
        <v>2.35</v>
      </c>
      <c r="P19" s="203">
        <f t="shared" si="6"/>
        <v>10.8</v>
      </c>
      <c r="R19" s="198" t="str">
        <f t="shared" si="7"/>
        <v>Sortierung A bis Z</v>
      </c>
    </row>
    <row r="20" spans="2:18" s="197" customFormat="1" ht="27.75" customHeight="1">
      <c r="B20" s="188">
        <f t="shared" si="4"/>
        <v>15</v>
      </c>
      <c r="C20" s="199">
        <f>IF(ISBLANK($E20),"",VLOOKUP($E20,Teilnehmer!$B$4:$K$199,2,0))</f>
        <v>1</v>
      </c>
      <c r="D20" s="199">
        <f>IF(ISBLANK($E20),"",VLOOKUP($E20,Teilnehmer!$B$4:$K$199,3,0))</f>
        <v>4</v>
      </c>
      <c r="E20" s="200">
        <v>67</v>
      </c>
      <c r="F20" s="181" t="str">
        <f>IF(ISBLANK($E20),"",VLOOKUP($E20,Teilnehmer!$B$4:$K$199,4,0))</f>
        <v>Walter Gerhard</v>
      </c>
      <c r="G20" s="286">
        <f>IF(ISBLANK($E20),"",VLOOKUP($E20,Teilnehmer!$B$4:$K$199,5,0))</f>
        <v>20268</v>
      </c>
      <c r="H20" s="287" t="str">
        <f>IF(ISBLANK($E20),"",VLOOKUP($E20,Teilnehmer!$B$4:$K$199,6,0))</f>
        <v>AC Gunzenhausen</v>
      </c>
      <c r="I20" s="181" t="str">
        <f>IF(ISBLANK($E20),"",VLOOKUP($E20,Teilnehmer!$B$4:$K$199,7,0))</f>
        <v>Schwarz Georg</v>
      </c>
      <c r="J20" s="286">
        <f>IF(ISBLANK($E20),"",VLOOKUP($E20,Teilnehmer!$B$4:$K$199,8,0))</f>
        <v>20042</v>
      </c>
      <c r="K20" s="287" t="str">
        <f>IF(ISBLANK($E20),"",VLOOKUP($E20,Teilnehmer!$B$4:$K$199,9,0))</f>
        <v>AC Gunzenhausen</v>
      </c>
      <c r="L20" s="315" t="str">
        <f>IF(ISBLANK($E20),"",VLOOKUP($E20,Teilnehmer!$B$4:$K$199,10,0))</f>
        <v>BMW 318IS</v>
      </c>
      <c r="M20" s="316" t="str">
        <f>IF(ISBLANK($E20),"",IFERROR(VLOOKUP(E20,'G1 K4'!$D$7:$T$46,16,0),VLOOKUP(E20,'G1 K5'!$D$7:$T$73,16,0)))</f>
        <v>ADW</v>
      </c>
      <c r="N20" s="245">
        <f>IF(ISBLANK($E20),"",IFERROR(VLOOKUP(E20,'G1 K4'!$D$7:$T$46,17,0),VLOOKUP(E20,'G1 K5'!$D$7:$T$73,17,0)))</f>
        <v>0</v>
      </c>
      <c r="O20" s="201">
        <v>0</v>
      </c>
      <c r="P20" s="203">
        <f t="shared" si="6"/>
        <v>0</v>
      </c>
      <c r="R20" s="198" t="str">
        <f t="shared" si="7"/>
        <v>Sortierung A bis Z</v>
      </c>
    </row>
    <row r="21" spans="2:18" s="197" customFormat="1" ht="27.75" customHeight="1">
      <c r="B21" s="188">
        <f t="shared" si="4"/>
        <v>16</v>
      </c>
      <c r="C21" s="199">
        <f>IF(ISBLANK($E21),"",VLOOKUP($E21,Teilnehmer!$B$4:$K$199,2,0))</f>
        <v>1</v>
      </c>
      <c r="D21" s="199">
        <f>IF(ISBLANK($E21),"",VLOOKUP($E21,Teilnehmer!$B$4:$K$199,3,0))</f>
        <v>4</v>
      </c>
      <c r="E21" s="200">
        <v>69</v>
      </c>
      <c r="F21" s="181" t="str">
        <f>IF(ISBLANK($E21),"",VLOOKUP($E21,Teilnehmer!$B$4:$K$199,4,0))</f>
        <v>Heider Daniel</v>
      </c>
      <c r="G21" s="286" t="str">
        <f>IF(ISBLANK($E21),"",VLOOKUP($E21,Teilnehmer!$B$4:$K$199,5,0))</f>
        <v>-</v>
      </c>
      <c r="H21" s="287" t="str">
        <f>IF(ISBLANK($E21),"",VLOOKUP($E21,Teilnehmer!$B$4:$K$199,6,0))</f>
        <v>AC Gunzenhausen</v>
      </c>
      <c r="I21" s="181" t="str">
        <f>IF(ISBLANK($E21),"",VLOOKUP($E21,Teilnehmer!$B$4:$K$199,7,0))</f>
        <v>Heider Michael</v>
      </c>
      <c r="J21" s="286" t="str">
        <f>IF(ISBLANK($E21),"",VLOOKUP($E21,Teilnehmer!$B$4:$K$199,8,0))</f>
        <v>-</v>
      </c>
      <c r="K21" s="287" t="str">
        <f>IF(ISBLANK($E21),"",VLOOKUP($E21,Teilnehmer!$B$4:$K$199,9,0))</f>
        <v>AC Gunzenhausen</v>
      </c>
      <c r="L21" s="315" t="str">
        <f>IF(ISBLANK($E21),"",VLOOKUP($E21,Teilnehmer!$B$4:$K$199,10,0))</f>
        <v>VW Golf 2</v>
      </c>
      <c r="M21" s="316" t="str">
        <f>IF(ISBLANK($E21),"",IFERROR(VLOOKUP(E21,'G1 K4'!$D$7:$T$46,16,0),VLOOKUP(E21,'G1 K5'!$D$7:$T$73,16,0)))</f>
        <v>ADW</v>
      </c>
      <c r="N21" s="245">
        <f>IF(ISBLANK($E21),"",IFERROR(VLOOKUP(E21,'G1 K4'!$D$7:$T$46,17,0),VLOOKUP(E21,'G1 K5'!$D$7:$T$73,17,0)))</f>
        <v>0</v>
      </c>
      <c r="O21" s="201">
        <v>0</v>
      </c>
      <c r="P21" s="203">
        <f t="shared" si="6"/>
        <v>0</v>
      </c>
      <c r="R21" s="198" t="str">
        <f t="shared" si="7"/>
        <v>Sortierung A bis Z</v>
      </c>
    </row>
    <row r="22" spans="2:18" s="197" customFormat="1" ht="27.75" customHeight="1">
      <c r="B22" s="188">
        <f t="shared" si="3"/>
        <v>17</v>
      </c>
      <c r="C22" s="199">
        <f>IF(ISBLANK($E22),"",VLOOKUP($E22,Teilnehmer!$B$4:$K$199,2,0))</f>
        <v>1</v>
      </c>
      <c r="D22" s="199">
        <f>IF(ISBLANK($E22),"",VLOOKUP($E22,Teilnehmer!$B$4:$K$199,3,0))</f>
        <v>5</v>
      </c>
      <c r="E22" s="200">
        <v>57</v>
      </c>
      <c r="F22" s="181" t="str">
        <f>IF(ISBLANK($E22),"",VLOOKUP($E22,Teilnehmer!$B$4:$K$199,4,0))</f>
        <v>Humburg Korbinian</v>
      </c>
      <c r="G22" s="286">
        <f>IF(ISBLANK($E22),"",VLOOKUP($E22,Teilnehmer!$B$4:$K$199,5,0))</f>
        <v>16308</v>
      </c>
      <c r="H22" s="287" t="str">
        <f>IF(ISBLANK($E22),"",VLOOKUP($E22,Teilnehmer!$B$4:$K$199,6,0))</f>
        <v>MSC Mamming</v>
      </c>
      <c r="I22" s="181" t="str">
        <f>IF(ISBLANK($E22),"",VLOOKUP($E22,Teilnehmer!$B$4:$K$199,7,0))</f>
        <v>Pöschl Manfred</v>
      </c>
      <c r="J22" s="286">
        <f>IF(ISBLANK($E22),"",VLOOKUP($E22,Teilnehmer!$B$4:$K$199,8,0))</f>
        <v>16309</v>
      </c>
      <c r="K22" s="287" t="str">
        <f>IF(ISBLANK($E22),"",VLOOKUP($E22,Teilnehmer!$B$4:$K$199,9,0))</f>
        <v>-</v>
      </c>
      <c r="L22" s="315" t="str">
        <f>IF(ISBLANK($E22),"",VLOOKUP($E22,Teilnehmer!$B$4:$K$199,10,0))</f>
        <v>BMW E36 328i</v>
      </c>
      <c r="M22" s="316" t="str">
        <f>IF(ISBLANK($E22),"",IFERROR(VLOOKUP(E22,'G1 K4'!$D$7:$T$46,16,0),VLOOKUP(E22,'G1 K5'!$D$7:$T$73,16,0)))</f>
        <v>ADW</v>
      </c>
      <c r="N22" s="245">
        <f>IF(ISBLANK($E22),"",IFERROR(VLOOKUP(E22,'G1 K4'!$D$7:$T$46,17,0),VLOOKUP(E22,'G1 K5'!$D$7:$T$73,17,0)))</f>
        <v>0</v>
      </c>
      <c r="O22" s="201">
        <v>0</v>
      </c>
      <c r="P22" s="202">
        <f t="shared" si="1"/>
        <v>0</v>
      </c>
      <c r="R22" s="198" t="str">
        <f t="shared" si="7"/>
        <v>Sortierung A bis Z</v>
      </c>
    </row>
    <row r="23" spans="2:18">
      <c r="C23" s="3"/>
      <c r="D23" s="3"/>
      <c r="E23" s="3"/>
      <c r="R23" s="149"/>
    </row>
    <row r="24" spans="2:18">
      <c r="C24" s="3"/>
      <c r="D24" s="3"/>
      <c r="E24" s="3"/>
      <c r="R24" s="149"/>
    </row>
    <row r="25" spans="2:18">
      <c r="C25" s="3"/>
      <c r="D25" s="3"/>
      <c r="E25" s="3"/>
      <c r="R25" s="149"/>
    </row>
    <row r="26" spans="2:18">
      <c r="C26" s="3"/>
      <c r="D26" s="3"/>
      <c r="E26" s="3"/>
      <c r="R26" s="149"/>
    </row>
    <row r="27" spans="2:18">
      <c r="C27" s="3"/>
      <c r="D27" s="3"/>
      <c r="E27" s="3"/>
      <c r="R27" s="149"/>
    </row>
    <row r="28" spans="2:18">
      <c r="C28" s="3"/>
      <c r="D28" s="3"/>
      <c r="E28" s="3"/>
      <c r="R28" s="149"/>
    </row>
    <row r="29" spans="2:18">
      <c r="C29" s="3"/>
      <c r="D29" s="3"/>
      <c r="E29" s="3"/>
      <c r="R29" s="149"/>
    </row>
    <row r="30" spans="2:18">
      <c r="C30" s="3"/>
      <c r="D30" s="3"/>
      <c r="E30" s="3"/>
      <c r="R30" s="149"/>
    </row>
    <row r="31" spans="2:18">
      <c r="C31" s="3"/>
      <c r="D31" s="3"/>
      <c r="E31" s="3"/>
      <c r="R31" s="149"/>
    </row>
    <row r="32" spans="2:18">
      <c r="C32" s="3"/>
      <c r="D32" s="3"/>
      <c r="E32" s="3"/>
      <c r="R32" s="149"/>
    </row>
    <row r="33" spans="3:18">
      <c r="C33" s="3"/>
      <c r="D33" s="3"/>
      <c r="E33" s="3"/>
      <c r="R33" s="149"/>
    </row>
    <row r="34" spans="3:18">
      <c r="C34" s="3"/>
      <c r="D34" s="3"/>
      <c r="E34" s="3"/>
      <c r="R34" s="149"/>
    </row>
    <row r="35" spans="3:18">
      <c r="C35" s="3"/>
      <c r="D35" s="3"/>
      <c r="E35" s="3"/>
      <c r="R35" s="149"/>
    </row>
    <row r="36" spans="3:18">
      <c r="C36" s="3"/>
      <c r="D36" s="3"/>
      <c r="E36" s="3"/>
      <c r="R36" s="149"/>
    </row>
    <row r="37" spans="3:18">
      <c r="C37" s="3"/>
      <c r="D37" s="3"/>
      <c r="E37" s="3"/>
    </row>
    <row r="38" spans="3:18">
      <c r="C38" s="3"/>
      <c r="D38" s="3"/>
      <c r="E38" s="3"/>
    </row>
    <row r="39" spans="3:18">
      <c r="C39" s="3"/>
      <c r="D39" s="3"/>
      <c r="E39" s="3"/>
    </row>
    <row r="40" spans="3:18">
      <c r="C40" s="3"/>
      <c r="D40" s="3"/>
      <c r="E40" s="3"/>
    </row>
    <row r="41" spans="3:18">
      <c r="C41" s="3"/>
      <c r="D41" s="3"/>
      <c r="E41" s="3"/>
    </row>
    <row r="42" spans="3:18">
      <c r="C42" s="3"/>
      <c r="D42" s="3"/>
      <c r="E42" s="3"/>
    </row>
    <row r="43" spans="3:18">
      <c r="C43" s="3"/>
      <c r="D43" s="3"/>
      <c r="E43" s="3"/>
    </row>
    <row r="44" spans="3:18">
      <c r="C44" s="3"/>
      <c r="D44" s="3"/>
      <c r="E44" s="3"/>
    </row>
    <row r="45" spans="3:18">
      <c r="C45" s="3"/>
      <c r="D45" s="3"/>
      <c r="E45" s="3"/>
    </row>
    <row r="46" spans="3:18">
      <c r="C46" s="3"/>
      <c r="D46" s="3"/>
      <c r="E46" s="3"/>
    </row>
    <row r="47" spans="3:18">
      <c r="C47" s="3"/>
      <c r="D47" s="3"/>
      <c r="E47" s="3"/>
    </row>
    <row r="48" spans="3:18">
      <c r="C48" s="3"/>
      <c r="D48" s="3"/>
      <c r="E48" s="3"/>
    </row>
    <row r="49" spans="3:5">
      <c r="C49" s="3"/>
      <c r="D49" s="3"/>
      <c r="E49" s="3"/>
    </row>
    <row r="50" spans="3:5">
      <c r="C50" s="3"/>
      <c r="D50" s="3"/>
      <c r="E50" s="3"/>
    </row>
    <row r="51" spans="3:5">
      <c r="C51" s="3"/>
      <c r="D51" s="3"/>
      <c r="E51" s="3"/>
    </row>
    <row r="52" spans="3:5">
      <c r="C52" s="3"/>
      <c r="D52" s="3"/>
      <c r="E52" s="3"/>
    </row>
    <row r="53" spans="3:5">
      <c r="C53" s="13"/>
      <c r="D53" s="13"/>
    </row>
    <row r="54" spans="3:5">
      <c r="C54" s="13"/>
      <c r="D54" s="13"/>
    </row>
    <row r="55" spans="3:5">
      <c r="C55" s="13"/>
      <c r="D55" s="13"/>
    </row>
  </sheetData>
  <autoFilter ref="C5:N5" xr:uid="{8C467011-810C-4001-A792-C07631504027}">
    <sortState xmlns:xlrd2="http://schemas.microsoft.com/office/spreadsheetml/2017/richdata2" ref="C6:N22">
      <sortCondition ref="M5"/>
    </sortState>
  </autoFilter>
  <mergeCells count="1">
    <mergeCell ref="R2:R5"/>
  </mergeCells>
  <conditionalFormatting sqref="E6:E22">
    <cfRule type="duplicateValues" dxfId="28" priority="673"/>
  </conditionalFormatting>
  <conditionalFormatting sqref="I6:I22 L6:L22">
    <cfRule type="cellIs" dxfId="27" priority="6" stopIfTrue="1" operator="equal">
      <formula>0</formula>
    </cfRule>
  </conditionalFormatting>
  <conditionalFormatting sqref="J4">
    <cfRule type="cellIs" dxfId="26" priority="3" operator="lessThan">
      <formula>0</formula>
    </cfRule>
    <cfRule type="cellIs" dxfId="25" priority="4" operator="greaterThan">
      <formula>0</formula>
    </cfRule>
  </conditionalFormatting>
  <conditionalFormatting sqref="R1:R2 R6:R1048576">
    <cfRule type="cellIs" dxfId="24" priority="2" operator="equal">
      <formula>"Sortierung A bis Z"</formula>
    </cfRule>
  </conditionalFormatting>
  <pageMargins left="0.70866141732283472" right="0.70866141732283472" top="0.78740157480314965" bottom="0.78740157480314965" header="0.31496062992125984" footer="0.31496062992125984"/>
  <pageSetup paperSize="9" scale="82"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72D5F-ED89-44D4-96A3-03CB6EF51154}">
  <sheetPr codeName="Tabelle11">
    <tabColor theme="9"/>
    <pageSetUpPr fitToPage="1"/>
  </sheetPr>
  <dimension ref="B1:T47"/>
  <sheetViews>
    <sheetView showGridLines="0" zoomScaleNormal="100" zoomScaleSheetLayoutView="90" workbookViewId="0">
      <pane xSplit="6" ySplit="5" topLeftCell="G19" activePane="bottomRight" state="frozen"/>
      <selection pane="bottomRight" activeCell="B1" sqref="B1:P47"/>
      <selection pane="bottomLeft" activeCell="L26" sqref="L26:L30"/>
      <selection pane="topRight" activeCell="L26" sqref="L26:L30"/>
    </sheetView>
  </sheetViews>
  <sheetFormatPr defaultColWidth="11.42578125" defaultRowHeight="14.25"/>
  <cols>
    <col min="1" max="1" width="2.7109375" style="5" customWidth="1"/>
    <col min="2" max="2" width="3.7109375" style="3" customWidth="1"/>
    <col min="3" max="4" width="2.7109375" style="5" customWidth="1"/>
    <col min="5" max="5" width="4.28515625" style="5" customWidth="1"/>
    <col min="6" max="6" width="16.42578125" style="13" bestFit="1" customWidth="1"/>
    <col min="7" max="7" width="6.7109375" style="5" customWidth="1"/>
    <col min="8" max="8" width="11.7109375" style="5" customWidth="1"/>
    <col min="9" max="9" width="15.7109375" style="13" customWidth="1"/>
    <col min="10" max="10" width="6.7109375" style="5" customWidth="1"/>
    <col min="11" max="11" width="11.7109375" style="5" customWidth="1"/>
    <col min="12" max="12" width="9.7109375" style="5" customWidth="1"/>
    <col min="13" max="13" width="15.140625" style="5" bestFit="1" customWidth="1"/>
    <col min="14" max="15" width="10.7109375" style="69" customWidth="1"/>
    <col min="16" max="16" width="14.28515625" style="69" customWidth="1"/>
    <col min="17" max="17" width="2.140625" style="5" customWidth="1"/>
    <col min="18" max="18" width="13.5703125" style="148" bestFit="1" customWidth="1"/>
    <col min="19" max="16384" width="11.42578125" style="5"/>
  </cols>
  <sheetData>
    <row r="1" spans="2:20" s="7" customFormat="1" ht="20.25">
      <c r="B1" s="18" t="str">
        <f>Teilnehmer!B1</f>
        <v>20. Fürst von Wrede Rallye 2024</v>
      </c>
      <c r="C1" s="18"/>
      <c r="D1" s="18"/>
      <c r="E1" s="18"/>
      <c r="F1" s="18"/>
      <c r="G1" s="18"/>
      <c r="H1" s="18"/>
      <c r="I1" s="18"/>
      <c r="J1" s="18"/>
      <c r="K1" s="18"/>
      <c r="L1" s="18"/>
      <c r="M1" s="18"/>
      <c r="N1" s="68"/>
      <c r="O1" s="102"/>
      <c r="P1" s="68"/>
      <c r="R1" s="147"/>
      <c r="T1" s="101" t="s">
        <v>58</v>
      </c>
    </row>
    <row r="2" spans="2:20">
      <c r="O2" s="102"/>
      <c r="R2" s="343" t="s">
        <v>314</v>
      </c>
    </row>
    <row r="3" spans="2:20" ht="15.75">
      <c r="F3" s="8" t="s">
        <v>315</v>
      </c>
      <c r="H3" s="8" t="s">
        <v>328</v>
      </c>
      <c r="I3" s="9"/>
      <c r="J3" s="11">
        <f>COUNTA(E6:E47)</f>
        <v>42</v>
      </c>
      <c r="K3" s="8" t="s">
        <v>317</v>
      </c>
      <c r="R3" s="343"/>
    </row>
    <row r="4" spans="2:20" ht="15" thickBot="1">
      <c r="J4" s="15">
        <f>J3-Teilnehmer!N9</f>
        <v>0</v>
      </c>
      <c r="K4" s="15" t="s">
        <v>283</v>
      </c>
      <c r="R4" s="343"/>
    </row>
    <row r="5" spans="2:20" ht="29.25">
      <c r="B5" s="103" t="s">
        <v>318</v>
      </c>
      <c r="C5" s="104" t="s">
        <v>2</v>
      </c>
      <c r="D5" s="104" t="s">
        <v>3</v>
      </c>
      <c r="E5" s="105" t="s">
        <v>299</v>
      </c>
      <c r="F5" s="106" t="s">
        <v>4</v>
      </c>
      <c r="G5" s="107" t="s">
        <v>5</v>
      </c>
      <c r="H5" s="106" t="s">
        <v>6</v>
      </c>
      <c r="I5" s="106" t="s">
        <v>7</v>
      </c>
      <c r="J5" s="107" t="s">
        <v>5</v>
      </c>
      <c r="K5" s="106" t="s">
        <v>6</v>
      </c>
      <c r="L5" s="243" t="s">
        <v>8</v>
      </c>
      <c r="M5" s="246" t="s">
        <v>326</v>
      </c>
      <c r="N5" s="244" t="s">
        <v>330</v>
      </c>
      <c r="O5" s="108" t="s">
        <v>331</v>
      </c>
      <c r="P5" s="109" t="s">
        <v>332</v>
      </c>
      <c r="R5" s="343"/>
    </row>
    <row r="6" spans="2:20" s="197" customFormat="1" ht="27.75" customHeight="1">
      <c r="B6" s="188">
        <v>1</v>
      </c>
      <c r="C6" s="199">
        <f>IF(ISBLANK($E6),"",VLOOKUP($E6,Teilnehmer!$B$4:$K$63,2,0))</f>
        <v>2</v>
      </c>
      <c r="D6" s="199">
        <f>IF(ISBLANK($E6),"",VLOOKUP($E6,Teilnehmer!$B$4:$K$63,3,0))</f>
        <v>10</v>
      </c>
      <c r="E6" s="200">
        <v>12</v>
      </c>
      <c r="F6" s="181" t="str">
        <f>IF(ISBLANK($E6),"",VLOOKUP($E6,Teilnehmer!$B$4:$K$63,4,0))</f>
        <v>Ederer Marcus</v>
      </c>
      <c r="G6" s="286" t="str">
        <f>IF(ISBLANK($E6),"",VLOOKUP($E6,Teilnehmer!$B$4:$K$63,5,0))</f>
        <v>-</v>
      </c>
      <c r="H6" s="287" t="str">
        <f>IF(ISBLANK($E6),"",VLOOKUP($E6,Teilnehmer!$B$4:$K$63,6,0))</f>
        <v>MSC Mamming</v>
      </c>
      <c r="I6" s="181" t="str">
        <f>IF(ISBLANK($E6),"",VLOOKUP($E6,Teilnehmer!$B$4:$K$63,7,0))</f>
        <v>Winnik Stella</v>
      </c>
      <c r="J6" s="286" t="str">
        <f>IF(ISBLANK($E6),"",VLOOKUP($E6,Teilnehmer!$B$4:$K$63,8,0))</f>
        <v>.</v>
      </c>
      <c r="K6" s="287" t="str">
        <f>IF(ISBLANK($E6),"",VLOOKUP($E6,Teilnehmer!$B$4:$K$63,9,0))</f>
        <v>MSC Mamming</v>
      </c>
      <c r="L6" s="315" t="str">
        <f>IF(ISBLANK($E6),"",VLOOKUP($E6,Teilnehmer!$B$4:$K$63,10,0))</f>
        <v>BMW M3</v>
      </c>
      <c r="M6" s="316">
        <f>IF(ISBLANK($E6),"",IFERROR(VLOOKUP(E6,'G2 K7'!$D$7:$T$9,16,0),IFERROR(VLOOKUP(E6,'G2 K8'!$D$7:$T$54,16,0),IFERROR(VLOOKUP(E6,'G2 K9'!$D$7:$T$57,16,0),VLOOKUP(E6,'G2 K10'!$D$7:$T$53,16,0)))))</f>
        <v>1.8365856481481424E-2</v>
      </c>
      <c r="N6" s="245">
        <f>IF(ISBLANK($E6),"",IFERROR(VLOOKUP(E6,'G2 K7'!$D$7:$T$69,17,0),IFERROR(VLOOKUP(E6,'G2 K8'!$D$7:$T$54,17,0),IFERROR(VLOOKUP(E6,'G2 K9'!$D$7:$T$57,17,0),VLOOKUP(E6,'G2 K10'!$D$7:$T$53,17,0)))))</f>
        <v>23</v>
      </c>
      <c r="O6" s="201">
        <f>IF(ISBLANK(E6),"",ROUND(10-10*(B6-1)/$J$3,2))</f>
        <v>10</v>
      </c>
      <c r="P6" s="202">
        <f t="shared" ref="P6:P31" si="0">IF(ISBLANK(E6),"",ROUND(N6+O6,2))</f>
        <v>33</v>
      </c>
      <c r="R6" s="198" t="str">
        <f>IF(ISBLANK($E6),"",IF(M7&gt;M6,"ok","Sortierung A bis Z"))</f>
        <v>ok</v>
      </c>
    </row>
    <row r="7" spans="2:20" s="197" customFormat="1" ht="27.75" customHeight="1">
      <c r="B7" s="188">
        <f>IF(ISBLANK(E7),"",B6+1)</f>
        <v>2</v>
      </c>
      <c r="C7" s="199">
        <f>IF(ISBLANK($E7),"",VLOOKUP($E7,Teilnehmer!$B$4:$K$63,2,0))</f>
        <v>2</v>
      </c>
      <c r="D7" s="199">
        <f>IF(ISBLANK($E7),"",VLOOKUP($E7,Teilnehmer!$B$4:$K$63,3,0))</f>
        <v>10</v>
      </c>
      <c r="E7" s="200">
        <v>13</v>
      </c>
      <c r="F7" s="181" t="str">
        <f>IF(ISBLANK($E7),"",VLOOKUP($E7,Teilnehmer!$B$4:$K$63,4,0))</f>
        <v>Köhler Fritz</v>
      </c>
      <c r="G7" s="286" t="str">
        <f>IF(ISBLANK($E7),"",VLOOKUP($E7,Teilnehmer!$B$4:$K$63,5,0))</f>
        <v>-</v>
      </c>
      <c r="H7" s="287" t="str">
        <f>IF(ISBLANK($E7),"",VLOOKUP($E7,Teilnehmer!$B$4:$K$63,6,0))</f>
        <v>-</v>
      </c>
      <c r="I7" s="181" t="str">
        <f>IF(ISBLANK($E7),"",VLOOKUP($E7,Teilnehmer!$B$4:$K$63,7,0))</f>
        <v>Hägele Petra</v>
      </c>
      <c r="J7" s="286" t="str">
        <f>IF(ISBLANK($E7),"",VLOOKUP($E7,Teilnehmer!$B$4:$K$63,8,0))</f>
        <v>-</v>
      </c>
      <c r="K7" s="287" t="str">
        <f>IF(ISBLANK($E7),"",VLOOKUP($E7,Teilnehmer!$B$4:$K$63,9,0))</f>
        <v>-</v>
      </c>
      <c r="L7" s="315" t="str">
        <f>IF(ISBLANK($E7),"",VLOOKUP($E7,Teilnehmer!$B$4:$K$63,10,0))</f>
        <v>BMW M3 e30</v>
      </c>
      <c r="M7" s="316">
        <f>IF(ISBLANK($E7),"",IFERROR(VLOOKUP(E7,'G2 K7'!$D$7:$T$9,16,0),IFERROR(VLOOKUP(E7,'G2 K8'!$D$7:$T$54,16,0),IFERROR(VLOOKUP(E7,'G2 K9'!$D$7:$T$57,16,0),VLOOKUP(E7,'G2 K10'!$D$7:$T$53,16,0)))))</f>
        <v>1.8998842592592546E-2</v>
      </c>
      <c r="N7" s="245">
        <f>IF(ISBLANK($E7),"",IFERROR(VLOOKUP(E7,'G2 K7'!$D$7:$T$69,17,0),IFERROR(VLOOKUP(E7,'G2 K8'!$D$7:$T$54,17,0),IFERROR(VLOOKUP(E7,'G2 K9'!$D$7:$T$57,17,0),VLOOKUP(E7,'G2 K10'!$D$7:$T$53,17,0)))))</f>
        <v>20.5</v>
      </c>
      <c r="O7" s="201">
        <f t="shared" ref="O7:O31" si="1">IF(ISBLANK(E7),"",ROUND(10-10*(B7-1)/$J$3,2))</f>
        <v>9.76</v>
      </c>
      <c r="P7" s="202">
        <f t="shared" si="0"/>
        <v>30.26</v>
      </c>
      <c r="R7" s="198" t="str">
        <f t="shared" ref="R7:R47" si="2">IF(ISBLANK($E7),"",IF(M8&gt;M7,"ok","Sortierung A bis Z"))</f>
        <v>ok</v>
      </c>
    </row>
    <row r="8" spans="2:20" s="197" customFormat="1" ht="27.75" customHeight="1">
      <c r="B8" s="188">
        <f t="shared" ref="B8:B47" si="3">IF(ISBLANK(E8),"",B7+1)</f>
        <v>3</v>
      </c>
      <c r="C8" s="199">
        <f>IF(ISBLANK($E8),"",VLOOKUP($E8,Teilnehmer!$B$4:$K$63,2,0))</f>
        <v>2</v>
      </c>
      <c r="D8" s="199">
        <f>IF(ISBLANK($E8),"",VLOOKUP($E8,Teilnehmer!$B$4:$K$63,3,0))</f>
        <v>9</v>
      </c>
      <c r="E8" s="200">
        <v>26</v>
      </c>
      <c r="F8" s="181" t="str">
        <f>IF(ISBLANK($E8),"",VLOOKUP($E8,Teilnehmer!$B$4:$K$63,4,0))</f>
        <v>Hammel Daniel</v>
      </c>
      <c r="G8" s="286" t="str">
        <f>IF(ISBLANK($E8),"",VLOOKUP($E8,Teilnehmer!$B$4:$K$63,5,0))</f>
        <v>-</v>
      </c>
      <c r="H8" s="287" t="str">
        <f>IF(ISBLANK($E8),"",VLOOKUP($E8,Teilnehmer!$B$4:$K$63,6,0))</f>
        <v>HMC Öhringen</v>
      </c>
      <c r="I8" s="181" t="str">
        <f>IF(ISBLANK($E8),"",VLOOKUP($E8,Teilnehmer!$B$4:$K$63,7,0))</f>
        <v>Klotz Matthias</v>
      </c>
      <c r="J8" s="286" t="str">
        <f>IF(ISBLANK($E8),"",VLOOKUP($E8,Teilnehmer!$B$4:$K$63,8,0))</f>
        <v>-</v>
      </c>
      <c r="K8" s="287" t="str">
        <f>IF(ISBLANK($E8),"",VLOOKUP($E8,Teilnehmer!$B$4:$K$63,9,0))</f>
        <v>-</v>
      </c>
      <c r="L8" s="315" t="str">
        <f>IF(ISBLANK($E8),"",VLOOKUP($E8,Teilnehmer!$B$4:$K$63,10,0))</f>
        <v>Honda Civic Type-R FN2</v>
      </c>
      <c r="M8" s="316">
        <f>IF(ISBLANK($E8),"",IFERROR(VLOOKUP(E8,'G2 K7'!$D$7:$T$9,16,0),IFERROR(VLOOKUP(E8,'G2 K8'!$D$7:$T$54,16,0),IFERROR(VLOOKUP(E8,'G2 K9'!$D$7:$T$57,16,0),VLOOKUP(E8,'G2 K10'!$D$7:$T$53,16,0)))))</f>
        <v>1.9201736111111201E-2</v>
      </c>
      <c r="N8" s="245">
        <f>IF(ISBLANK($E8),"",IFERROR(VLOOKUP(E8,'G2 K7'!$D$7:$T$69,17,0),IFERROR(VLOOKUP(E8,'G2 K8'!$D$7:$T$54,17,0),IFERROR(VLOOKUP(E8,'G2 K9'!$D$7:$T$57,17,0),VLOOKUP(E8,'G2 K10'!$D$7:$T$53,17,0)))))</f>
        <v>23</v>
      </c>
      <c r="O8" s="201">
        <f t="shared" si="1"/>
        <v>9.52</v>
      </c>
      <c r="P8" s="202">
        <f t="shared" si="0"/>
        <v>32.520000000000003</v>
      </c>
      <c r="R8" s="198" t="str">
        <f t="shared" si="2"/>
        <v>ok</v>
      </c>
    </row>
    <row r="9" spans="2:20" s="197" customFormat="1" ht="27.75" customHeight="1">
      <c r="B9" s="188">
        <f t="shared" si="3"/>
        <v>4</v>
      </c>
      <c r="C9" s="199">
        <f>IF(ISBLANK($E9),"",VLOOKUP($E9,Teilnehmer!$B$4:$K$63,2,0))</f>
        <v>2</v>
      </c>
      <c r="D9" s="199">
        <f>IF(ISBLANK($E9),"",VLOOKUP($E9,Teilnehmer!$B$4:$K$63,3,0))</f>
        <v>8</v>
      </c>
      <c r="E9" s="200">
        <v>44</v>
      </c>
      <c r="F9" s="181" t="str">
        <f>IF(ISBLANK($E9),"",VLOOKUP($E9,Teilnehmer!$B$4:$K$63,4,0))</f>
        <v>Michel Torsten</v>
      </c>
      <c r="G9" s="286">
        <f>IF(ISBLANK($E9),"",VLOOKUP($E9,Teilnehmer!$B$4:$K$63,5,0))</f>
        <v>14855</v>
      </c>
      <c r="H9" s="287" t="str">
        <f>IF(ISBLANK($E9),"",VLOOKUP($E9,Teilnehmer!$B$4:$K$63,6,0))</f>
        <v>Chaosteam Motorsport</v>
      </c>
      <c r="I9" s="181" t="str">
        <f>IF(ISBLANK($E9),"",VLOOKUP($E9,Teilnehmer!$B$4:$K$63,7,0))</f>
        <v>Diehm Samantha</v>
      </c>
      <c r="J9" s="286">
        <f>IF(ISBLANK($E9),"",VLOOKUP($E9,Teilnehmer!$B$4:$K$63,8,0))</f>
        <v>15622</v>
      </c>
      <c r="K9" s="287" t="str">
        <f>IF(ISBLANK($E9),"",VLOOKUP($E9,Teilnehmer!$B$4:$K$63,9,0))</f>
        <v>Chaosteam Motorsport</v>
      </c>
      <c r="L9" s="315" t="str">
        <f>IF(ISBLANK($E9),"",VLOOKUP($E9,Teilnehmer!$B$4:$K$63,10,0))</f>
        <v>Ford Fiesta Rally 4</v>
      </c>
      <c r="M9" s="316">
        <f>IF(ISBLANK($E9),"",IFERROR(VLOOKUP(E9,'G2 K7'!$D$7:$T$9,16,0),IFERROR(VLOOKUP(E9,'G2 K8'!$D$7:$T$54,16,0),IFERROR(VLOOKUP(E9,'G2 K9'!$D$7:$T$57,16,0),VLOOKUP(E9,'G2 K10'!$D$7:$T$53,16,0)))))</f>
        <v>1.9428009259259249E-2</v>
      </c>
      <c r="N9" s="245">
        <f>IF(ISBLANK($E9),"",IFERROR(VLOOKUP(E9,'G2 K7'!$D$7:$T$69,17,0),IFERROR(VLOOKUP(E9,'G2 K8'!$D$7:$T$54,17,0),IFERROR(VLOOKUP(E9,'G2 K9'!$D$7:$T$57,17,0),VLOOKUP(E9,'G2 K10'!$D$7:$T$53,17,0)))))</f>
        <v>23</v>
      </c>
      <c r="O9" s="201">
        <f t="shared" si="1"/>
        <v>9.2899999999999991</v>
      </c>
      <c r="P9" s="202">
        <f t="shared" si="0"/>
        <v>32.29</v>
      </c>
      <c r="R9" s="198" t="str">
        <f t="shared" si="2"/>
        <v>ok</v>
      </c>
    </row>
    <row r="10" spans="2:20" s="197" customFormat="1" ht="27.75" customHeight="1">
      <c r="B10" s="188">
        <f t="shared" si="3"/>
        <v>5</v>
      </c>
      <c r="C10" s="199">
        <f>IF(ISBLANK($E10),"",VLOOKUP($E10,Teilnehmer!$B$4:$K$63,2,0))</f>
        <v>2</v>
      </c>
      <c r="D10" s="199">
        <f>IF(ISBLANK($E10),"",VLOOKUP($E10,Teilnehmer!$B$4:$K$63,3,0))</f>
        <v>9</v>
      </c>
      <c r="E10" s="200">
        <v>35</v>
      </c>
      <c r="F10" s="181" t="str">
        <f>IF(ISBLANK($E10),"",VLOOKUP($E10,Teilnehmer!$B$4:$K$63,4,0))</f>
        <v>Kübler Oliver</v>
      </c>
      <c r="G10" s="286" t="str">
        <f>IF(ISBLANK($E10),"",VLOOKUP($E10,Teilnehmer!$B$4:$K$63,5,0))</f>
        <v>-</v>
      </c>
      <c r="H10" s="287" t="str">
        <f>IF(ISBLANK($E10),"",VLOOKUP($E10,Teilnehmer!$B$4:$K$63,6,0))</f>
        <v>HWRT Wohlmuthausen</v>
      </c>
      <c r="I10" s="181" t="str">
        <f>IF(ISBLANK($E10),"",VLOOKUP($E10,Teilnehmer!$B$4:$K$63,7,0))</f>
        <v>Hochhäuser Michael</v>
      </c>
      <c r="J10" s="286" t="str">
        <f>IF(ISBLANK($E10),"",VLOOKUP($E10,Teilnehmer!$B$4:$K$63,8,0))</f>
        <v>-</v>
      </c>
      <c r="K10" s="287" t="str">
        <f>IF(ISBLANK($E10),"",VLOOKUP($E10,Teilnehmer!$B$4:$K$63,9,0))</f>
        <v>HWRT Wohlmuthausen</v>
      </c>
      <c r="L10" s="315" t="str">
        <f>IF(ISBLANK($E10),"",VLOOKUP($E10,Teilnehmer!$B$4:$K$63,10,0))</f>
        <v>BMW E30 318is</v>
      </c>
      <c r="M10" s="316">
        <f>IF(ISBLANK($E10),"",IFERROR(VLOOKUP(E10,'G2 K7'!$D$7:$T$9,16,0),IFERROR(VLOOKUP(E10,'G2 K8'!$D$7:$T$54,16,0),IFERROR(VLOOKUP(E10,'G2 K9'!$D$7:$T$57,16,0),VLOOKUP(E10,'G2 K10'!$D$7:$T$53,16,0)))))</f>
        <v>1.9539120370370533E-2</v>
      </c>
      <c r="N10" s="245">
        <f>IF(ISBLANK($E10),"",IFERROR(VLOOKUP(E10,'G2 K7'!$D$7:$T$69,17,0),IFERROR(VLOOKUP(E10,'G2 K8'!$D$7:$T$54,17,0),IFERROR(VLOOKUP(E10,'G2 K9'!$D$7:$T$57,17,0),VLOOKUP(E10,'G2 K10'!$D$7:$T$53,17,0)))))</f>
        <v>22</v>
      </c>
      <c r="O10" s="201">
        <f t="shared" si="1"/>
        <v>9.0500000000000007</v>
      </c>
      <c r="P10" s="202">
        <f t="shared" si="0"/>
        <v>31.05</v>
      </c>
      <c r="R10" s="198" t="str">
        <f t="shared" si="2"/>
        <v>ok</v>
      </c>
    </row>
    <row r="11" spans="2:20" s="197" customFormat="1" ht="27.75" customHeight="1">
      <c r="B11" s="188">
        <f t="shared" si="3"/>
        <v>6</v>
      </c>
      <c r="C11" s="199">
        <f>IF(ISBLANK($E11),"",VLOOKUP($E11,Teilnehmer!$B$4:$K$63,2,0))</f>
        <v>2</v>
      </c>
      <c r="D11" s="199">
        <f>IF(ISBLANK($E11),"",VLOOKUP($E11,Teilnehmer!$B$4:$K$63,3,0))</f>
        <v>9</v>
      </c>
      <c r="E11" s="200">
        <v>33</v>
      </c>
      <c r="F11" s="181" t="str">
        <f>IF(ISBLANK($E11),"",VLOOKUP($E11,Teilnehmer!$B$4:$K$63,4,0))</f>
        <v>Kohler Sven</v>
      </c>
      <c r="G11" s="286" t="str">
        <f>IF(ISBLANK($E11),"",VLOOKUP($E11,Teilnehmer!$B$4:$K$63,5,0))</f>
        <v>-</v>
      </c>
      <c r="H11" s="287" t="str">
        <f>IF(ISBLANK($E11),"",VLOOKUP($E11,Teilnehmer!$B$4:$K$63,6,0))</f>
        <v>RC Pommes</v>
      </c>
      <c r="I11" s="181" t="str">
        <f>IF(ISBLANK($E11),"",VLOOKUP($E11,Teilnehmer!$B$4:$K$63,7,0))</f>
        <v>Hinrichs Anna</v>
      </c>
      <c r="J11" s="286">
        <f>IF(ISBLANK($E11),"",VLOOKUP($E11,Teilnehmer!$B$4:$K$63,8,0))</f>
        <v>15287</v>
      </c>
      <c r="K11" s="287" t="str">
        <f>IF(ISBLANK($E11),"",VLOOKUP($E11,Teilnehmer!$B$4:$K$63,9,0))</f>
        <v>RG Ga(a)s</v>
      </c>
      <c r="L11" s="315" t="str">
        <f>IF(ISBLANK($E11),"",VLOOKUP($E11,Teilnehmer!$B$4:$K$63,10,0))</f>
        <v>BMW E30 320is</v>
      </c>
      <c r="M11" s="316">
        <f>IF(ISBLANK($E11),"",IFERROR(VLOOKUP(E11,'G2 K7'!$D$7:$T$9,16,0),IFERROR(VLOOKUP(E11,'G2 K8'!$D$7:$T$54,16,0),IFERROR(VLOOKUP(E11,'G2 K9'!$D$7:$T$57,16,0),VLOOKUP(E11,'G2 K10'!$D$7:$T$53,16,0)))))</f>
        <v>1.955497685185198E-2</v>
      </c>
      <c r="N11" s="245">
        <f>IF(ISBLANK($E11),"",IFERROR(VLOOKUP(E11,'G2 K7'!$D$7:$T$69,17,0),IFERROR(VLOOKUP(E11,'G2 K8'!$D$7:$T$54,17,0),IFERROR(VLOOKUP(E11,'G2 K9'!$D$7:$T$57,17,0),VLOOKUP(E11,'G2 K10'!$D$7:$T$53,17,0)))))</f>
        <v>21</v>
      </c>
      <c r="O11" s="201">
        <f t="shared" si="1"/>
        <v>8.81</v>
      </c>
      <c r="P11" s="202">
        <f t="shared" si="0"/>
        <v>29.81</v>
      </c>
      <c r="R11" s="198" t="str">
        <f t="shared" si="2"/>
        <v>ok</v>
      </c>
    </row>
    <row r="12" spans="2:20" s="197" customFormat="1" ht="27.75" customHeight="1">
      <c r="B12" s="188">
        <f t="shared" si="3"/>
        <v>7</v>
      </c>
      <c r="C12" s="199">
        <f>IF(ISBLANK($E12),"",VLOOKUP($E12,Teilnehmer!$B$4:$K$63,2,0))</f>
        <v>2</v>
      </c>
      <c r="D12" s="199">
        <f>IF(ISBLANK($E12),"",VLOOKUP($E12,Teilnehmer!$B$4:$K$63,3,0))</f>
        <v>9</v>
      </c>
      <c r="E12" s="200">
        <v>21</v>
      </c>
      <c r="F12" s="181" t="str">
        <f>IF(ISBLANK($E12),"",VLOOKUP($E12,Teilnehmer!$B$4:$K$63,4,0))</f>
        <v>Bader Steffen</v>
      </c>
      <c r="G12" s="286">
        <f>IF(ISBLANK($E12),"",VLOOKUP($E12,Teilnehmer!$B$4:$K$63,5,0))</f>
        <v>16280</v>
      </c>
      <c r="H12" s="287" t="str">
        <f>IF(ISBLANK($E12),"",VLOOKUP($E12,Teilnehmer!$B$4:$K$63,6,0))</f>
        <v>-</v>
      </c>
      <c r="I12" s="181" t="str">
        <f>IF(ISBLANK($E12),"",VLOOKUP($E12,Teilnehmer!$B$4:$K$63,7,0))</f>
        <v>Laib Dieter</v>
      </c>
      <c r="J12" s="286">
        <f>IF(ISBLANK($E12),"",VLOOKUP($E12,Teilnehmer!$B$4:$K$63,8,0))</f>
        <v>16284</v>
      </c>
      <c r="K12" s="287" t="str">
        <f>IF(ISBLANK($E12),"",VLOOKUP($E12,Teilnehmer!$B$4:$K$63,9,0))</f>
        <v>-</v>
      </c>
      <c r="L12" s="315" t="str">
        <f>IF(ISBLANK($E12),"",VLOOKUP($E12,Teilnehmer!$B$4:$K$63,10,0))</f>
        <v>Opel Kadett C</v>
      </c>
      <c r="M12" s="316">
        <f>IF(ISBLANK($E12),"",IFERROR(VLOOKUP(E12,'G2 K7'!$D$7:$T$9,16,0),IFERROR(VLOOKUP(E12,'G2 K8'!$D$7:$T$54,16,0),IFERROR(VLOOKUP(E12,'G2 K9'!$D$7:$T$57,16,0),VLOOKUP(E12,'G2 K10'!$D$7:$T$53,16,0)))))</f>
        <v>1.9593287037036777E-2</v>
      </c>
      <c r="N12" s="245">
        <f>IF(ISBLANK($E12),"",IFERROR(VLOOKUP(E12,'G2 K7'!$D$7:$T$69,17,0),IFERROR(VLOOKUP(E12,'G2 K8'!$D$7:$T$54,17,0),IFERROR(VLOOKUP(E12,'G2 K9'!$D$7:$T$57,17,0),VLOOKUP(E12,'G2 K10'!$D$7:$T$53,17,0)))))</f>
        <v>20</v>
      </c>
      <c r="O12" s="201">
        <f t="shared" si="1"/>
        <v>8.57</v>
      </c>
      <c r="P12" s="202">
        <f t="shared" si="0"/>
        <v>28.57</v>
      </c>
      <c r="R12" s="198" t="str">
        <f t="shared" si="2"/>
        <v>ok</v>
      </c>
    </row>
    <row r="13" spans="2:20" s="197" customFormat="1" ht="27.75" customHeight="1">
      <c r="B13" s="188">
        <f t="shared" si="3"/>
        <v>8</v>
      </c>
      <c r="C13" s="199">
        <f>IF(ISBLANK($E13),"",VLOOKUP($E13,Teilnehmer!$B$4:$K$63,2,0))</f>
        <v>2</v>
      </c>
      <c r="D13" s="199">
        <f>IF(ISBLANK($E13),"",VLOOKUP($E13,Teilnehmer!$B$4:$K$63,3,0))</f>
        <v>8</v>
      </c>
      <c r="E13" s="200">
        <v>39</v>
      </c>
      <c r="F13" s="181" t="str">
        <f>IF(ISBLANK($E13),"",VLOOKUP($E13,Teilnehmer!$B$4:$K$63,4,0))</f>
        <v>Bruchhäuser Gil</v>
      </c>
      <c r="G13" s="286">
        <f>IF(ISBLANK($E13),"",VLOOKUP($E13,Teilnehmer!$B$4:$K$63,5,0))</f>
        <v>16444</v>
      </c>
      <c r="H13" s="287" t="str">
        <f>IF(ISBLANK($E13),"",VLOOKUP($E13,Teilnehmer!$B$4:$K$63,6,0))</f>
        <v>RG Ga(a)s</v>
      </c>
      <c r="I13" s="181" t="str">
        <f>IF(ISBLANK($E13),"",VLOOKUP($E13,Teilnehmer!$B$4:$K$63,7,0))</f>
        <v>Kölsch Björn</v>
      </c>
      <c r="J13" s="286">
        <f>IF(ISBLANK($E13),"",VLOOKUP($E13,Teilnehmer!$B$4:$K$63,8,0))</f>
        <v>16445</v>
      </c>
      <c r="K13" s="287" t="str">
        <f>IF(ISBLANK($E13),"",VLOOKUP($E13,Teilnehmer!$B$4:$K$63,9,0))</f>
        <v>-</v>
      </c>
      <c r="L13" s="315" t="str">
        <f>IF(ISBLANK($E13),"",VLOOKUP($E13,Teilnehmer!$B$4:$K$63,10,0))</f>
        <v>Citroën C2 R2 Max</v>
      </c>
      <c r="M13" s="316">
        <f>IF(ISBLANK($E13),"",IFERROR(VLOOKUP(E13,'G2 K7'!$D$7:$T$9,16,0),IFERROR(VLOOKUP(E13,'G2 K8'!$D$7:$T$54,16,0),IFERROR(VLOOKUP(E13,'G2 K9'!$D$7:$T$57,16,0),VLOOKUP(E13,'G2 K10'!$D$7:$T$53,16,0)))))</f>
        <v>1.9763078703703751E-2</v>
      </c>
      <c r="N13" s="245">
        <f>IF(ISBLANK($E13),"",IFERROR(VLOOKUP(E13,'G2 K7'!$D$7:$T$69,17,0),IFERROR(VLOOKUP(E13,'G2 K8'!$D$7:$T$54,17,0),IFERROR(VLOOKUP(E13,'G2 K9'!$D$7:$T$57,17,0),VLOOKUP(E13,'G2 K10'!$D$7:$T$53,17,0)))))</f>
        <v>21.18</v>
      </c>
      <c r="O13" s="201">
        <f t="shared" si="1"/>
        <v>8.33</v>
      </c>
      <c r="P13" s="202">
        <f t="shared" si="0"/>
        <v>29.51</v>
      </c>
      <c r="R13" s="198" t="str">
        <f t="shared" si="2"/>
        <v>ok</v>
      </c>
    </row>
    <row r="14" spans="2:20" s="197" customFormat="1" ht="27.75" customHeight="1">
      <c r="B14" s="188">
        <f t="shared" si="3"/>
        <v>9</v>
      </c>
      <c r="C14" s="199">
        <f>IF(ISBLANK($E14),"",VLOOKUP($E14,Teilnehmer!$B$4:$K$63,2,0))</f>
        <v>2</v>
      </c>
      <c r="D14" s="199">
        <f>IF(ISBLANK($E14),"",VLOOKUP($E14,Teilnehmer!$B$4:$K$63,3,0))</f>
        <v>9</v>
      </c>
      <c r="E14" s="200">
        <v>25</v>
      </c>
      <c r="F14" s="181" t="str">
        <f>IF(ISBLANK($E14),"",VLOOKUP($E14,Teilnehmer!$B$4:$K$63,4,0))</f>
        <v>Wünsch Oliver</v>
      </c>
      <c r="G14" s="286">
        <f>IF(ISBLANK($E14),"",VLOOKUP($E14,Teilnehmer!$B$4:$K$63,5,0))</f>
        <v>15506</v>
      </c>
      <c r="H14" s="287" t="str">
        <f>IF(ISBLANK($E14),"",VLOOKUP($E14,Teilnehmer!$B$4:$K$63,6,0))</f>
        <v>Scuderia Offenbach / Orange Motorsport</v>
      </c>
      <c r="I14" s="181" t="str">
        <f>IF(ISBLANK($E14),"",VLOOKUP($E14,Teilnehmer!$B$4:$K$63,7,0))</f>
        <v>Manger Moritz</v>
      </c>
      <c r="J14" s="286" t="str">
        <f>IF(ISBLANK($E14),"",VLOOKUP($E14,Teilnehmer!$B$4:$K$63,8,0))</f>
        <v>-</v>
      </c>
      <c r="K14" s="287" t="str">
        <f>IF(ISBLANK($E14),"",VLOOKUP($E14,Teilnehmer!$B$4:$K$63,9,0))</f>
        <v>Scuderia Offenbach</v>
      </c>
      <c r="L14" s="315" t="str">
        <f>IF(ISBLANK($E14),"",VLOOKUP($E14,Teilnehmer!$B$4:$K$63,10,0))</f>
        <v>VW Golf II GTI 16V</v>
      </c>
      <c r="M14" s="316">
        <f>IF(ISBLANK($E14),"",IFERROR(VLOOKUP(E14,'G2 K7'!$D$7:$T$9,16,0),IFERROR(VLOOKUP(E14,'G2 K8'!$D$7:$T$54,16,0),IFERROR(VLOOKUP(E14,'G2 K9'!$D$7:$T$57,16,0),VLOOKUP(E14,'G2 K10'!$D$7:$T$53,16,0)))))</f>
        <v>1.9936805555555825E-2</v>
      </c>
      <c r="N14" s="245">
        <f>IF(ISBLANK($E14),"",IFERROR(VLOOKUP(E14,'G2 K7'!$D$7:$T$69,17,0),IFERROR(VLOOKUP(E14,'G2 K8'!$D$7:$T$54,17,0),IFERROR(VLOOKUP(E14,'G2 K9'!$D$7:$T$57,17,0),VLOOKUP(E14,'G2 K10'!$D$7:$T$53,17,0)))))</f>
        <v>19</v>
      </c>
      <c r="O14" s="201">
        <f t="shared" si="1"/>
        <v>8.1</v>
      </c>
      <c r="P14" s="203">
        <f t="shared" si="0"/>
        <v>27.1</v>
      </c>
      <c r="R14" s="198" t="str">
        <f t="shared" si="2"/>
        <v>ok</v>
      </c>
    </row>
    <row r="15" spans="2:20" s="197" customFormat="1" ht="27.75" customHeight="1">
      <c r="B15" s="188">
        <f t="shared" si="3"/>
        <v>10</v>
      </c>
      <c r="C15" s="199">
        <f>IF(ISBLANK($E15),"",VLOOKUP($E15,Teilnehmer!$B$4:$K$63,2,0))</f>
        <v>2</v>
      </c>
      <c r="D15" s="199">
        <f>IF(ISBLANK($E15),"",VLOOKUP($E15,Teilnehmer!$B$4:$K$63,3,0))</f>
        <v>9</v>
      </c>
      <c r="E15" s="200">
        <v>34</v>
      </c>
      <c r="F15" s="181" t="str">
        <f>IF(ISBLANK($E15),"",VLOOKUP($E15,Teilnehmer!$B$4:$K$63,4,0))</f>
        <v>Kohler Erhard</v>
      </c>
      <c r="G15" s="286" t="str">
        <f>IF(ISBLANK($E15),"",VLOOKUP($E15,Teilnehmer!$B$4:$K$63,5,0))</f>
        <v>-</v>
      </c>
      <c r="H15" s="287" t="str">
        <f>IF(ISBLANK($E15),"",VLOOKUP($E15,Teilnehmer!$B$4:$K$63,6,0))</f>
        <v>RC Pommes</v>
      </c>
      <c r="I15" s="181" t="str">
        <f>IF(ISBLANK($E15),"",VLOOKUP($E15,Teilnehmer!$B$4:$K$63,7,0))</f>
        <v>Kohler Maren</v>
      </c>
      <c r="J15" s="286" t="str">
        <f>IF(ISBLANK($E15),"",VLOOKUP($E15,Teilnehmer!$B$4:$K$63,8,0))</f>
        <v>-</v>
      </c>
      <c r="K15" s="287" t="str">
        <f>IF(ISBLANK($E15),"",VLOOKUP($E15,Teilnehmer!$B$4:$K$63,9,0))</f>
        <v>RC Pommes</v>
      </c>
      <c r="L15" s="315" t="str">
        <f>IF(ISBLANK($E15),"",VLOOKUP($E15,Teilnehmer!$B$4:$K$63,10,0))</f>
        <v>BMW E30 318is</v>
      </c>
      <c r="M15" s="316">
        <f>IF(ISBLANK($E15),"",IFERROR(VLOOKUP(E15,'G2 K7'!$D$7:$T$9,16,0),IFERROR(VLOOKUP(E15,'G2 K8'!$D$7:$T$54,16,0),IFERROR(VLOOKUP(E15,'G2 K9'!$D$7:$T$57,16,0),VLOOKUP(E15,'G2 K10'!$D$7:$T$53,16,0)))))</f>
        <v>2.0115972222222171E-2</v>
      </c>
      <c r="N15" s="245">
        <f>IF(ISBLANK($E15),"",IFERROR(VLOOKUP(E15,'G2 K7'!$D$7:$T$69,17,0),IFERROR(VLOOKUP(E15,'G2 K8'!$D$7:$T$54,17,0),IFERROR(VLOOKUP(E15,'G2 K9'!$D$7:$T$57,17,0),VLOOKUP(E15,'G2 K10'!$D$7:$T$53,17,0)))))</f>
        <v>18</v>
      </c>
      <c r="O15" s="201">
        <f t="shared" si="1"/>
        <v>7.86</v>
      </c>
      <c r="P15" s="203">
        <f t="shared" si="0"/>
        <v>25.86</v>
      </c>
      <c r="R15" s="198" t="str">
        <f t="shared" si="2"/>
        <v>ok</v>
      </c>
    </row>
    <row r="16" spans="2:20" s="197" customFormat="1" ht="27.75" customHeight="1">
      <c r="B16" s="188">
        <f t="shared" si="3"/>
        <v>11</v>
      </c>
      <c r="C16" s="199">
        <f>IF(ISBLANK($E16),"",VLOOKUP($E16,Teilnehmer!$B$4:$K$63,2,0))</f>
        <v>2</v>
      </c>
      <c r="D16" s="199">
        <f>IF(ISBLANK($E16),"",VLOOKUP($E16,Teilnehmer!$B$4:$K$63,3,0))</f>
        <v>7</v>
      </c>
      <c r="E16" s="200">
        <v>51</v>
      </c>
      <c r="F16" s="181" t="str">
        <f>IF(ISBLANK($E16),"",VLOOKUP($E16,Teilnehmer!$B$4:$K$63,4,0))</f>
        <v>Schützmeier Stefan</v>
      </c>
      <c r="G16" s="286">
        <f>IF(ISBLANK($E16),"",VLOOKUP($E16,Teilnehmer!$B$4:$K$63,5,0))</f>
        <v>16634</v>
      </c>
      <c r="H16" s="287" t="str">
        <f>IF(ISBLANK($E16),"",VLOOKUP($E16,Teilnehmer!$B$4:$K$63,6,0))</f>
        <v>Becker &amp; Bosch Racing Team</v>
      </c>
      <c r="I16" s="181" t="str">
        <f>IF(ISBLANK($E16),"",VLOOKUP($E16,Teilnehmer!$B$4:$K$63,7,0))</f>
        <v>Ritter Susann</v>
      </c>
      <c r="J16" s="286">
        <f>IF(ISBLANK($E16),"",VLOOKUP($E16,Teilnehmer!$B$4:$K$63,8,0))</f>
        <v>16724</v>
      </c>
      <c r="K16" s="287" t="str">
        <f>IF(ISBLANK($E16),"",VLOOKUP($E16,Teilnehmer!$B$4:$K$63,9,0))</f>
        <v>Becker &amp; Bosch Racing Team</v>
      </c>
      <c r="L16" s="315" t="str">
        <f>IF(ISBLANK($E16),"",VLOOKUP($E16,Teilnehmer!$B$4:$K$63,10,0))</f>
        <v>Suzuki Swift GTi</v>
      </c>
      <c r="M16" s="316">
        <f>IF(ISBLANK($E16),"",IFERROR(VLOOKUP(E16,'G2 K7'!$D$7:$T$9,16,0),IFERROR(VLOOKUP(E16,'G2 K8'!$D$7:$T$54,16,0),IFERROR(VLOOKUP(E16,'G2 K9'!$D$7:$T$57,16,0),VLOOKUP(E16,'G2 K10'!$D$7:$T$53,16,0)))))</f>
        <v>2.0152777777777908E-2</v>
      </c>
      <c r="N16" s="245">
        <f>IF(ISBLANK($E16),"",IFERROR(VLOOKUP(E16,'G2 K7'!$D$7:$T$69,17,0),IFERROR(VLOOKUP(E16,'G2 K8'!$D$7:$T$54,17,0),IFERROR(VLOOKUP(E16,'G2 K9'!$D$7:$T$57,17,0),VLOOKUP(E16,'G2 K10'!$D$7:$T$53,17,0)))))</f>
        <v>23</v>
      </c>
      <c r="O16" s="201">
        <f t="shared" si="1"/>
        <v>7.62</v>
      </c>
      <c r="P16" s="202">
        <f t="shared" si="0"/>
        <v>30.62</v>
      </c>
      <c r="R16" s="198" t="str">
        <f t="shared" si="2"/>
        <v>ok</v>
      </c>
    </row>
    <row r="17" spans="2:18" s="197" customFormat="1" ht="27.75" customHeight="1">
      <c r="B17" s="188">
        <f t="shared" si="3"/>
        <v>12</v>
      </c>
      <c r="C17" s="199">
        <f>IF(ISBLANK($E17),"",VLOOKUP($E17,Teilnehmer!$B$4:$K$63,2,0))</f>
        <v>2</v>
      </c>
      <c r="D17" s="199">
        <f>IF(ISBLANK($E17),"",VLOOKUP($E17,Teilnehmer!$B$4:$K$63,3,0))</f>
        <v>8</v>
      </c>
      <c r="E17" s="200">
        <v>48</v>
      </c>
      <c r="F17" s="181" t="str">
        <f>IF(ISBLANK($E17),"",VLOOKUP($E17,Teilnehmer!$B$4:$K$63,4,0))</f>
        <v>Griesdorn Sebastian</v>
      </c>
      <c r="G17" s="286">
        <f>IF(ISBLANK($E17),"",VLOOKUP($E17,Teilnehmer!$B$4:$K$63,5,0))</f>
        <v>15626</v>
      </c>
      <c r="H17" s="287" t="str">
        <f>IF(ISBLANK($E17),"",VLOOKUP($E17,Teilnehmer!$B$4:$K$63,6,0))</f>
        <v>BG Rallyesport</v>
      </c>
      <c r="I17" s="181" t="str">
        <f>IF(ISBLANK($E17),"",VLOOKUP($E17,Teilnehmer!$B$4:$K$63,7,0))</f>
        <v>Bitsch Marco</v>
      </c>
      <c r="J17" s="286">
        <f>IF(ISBLANK($E17),"",VLOOKUP($E17,Teilnehmer!$B$4:$K$63,8,0))</f>
        <v>16561</v>
      </c>
      <c r="K17" s="287" t="str">
        <f>IF(ISBLANK($E17),"",VLOOKUP($E17,Teilnehmer!$B$4:$K$63,9,0))</f>
        <v>BG Rallyesport</v>
      </c>
      <c r="L17" s="315" t="str">
        <f>IF(ISBLANK($E17),"",VLOOKUP($E17,Teilnehmer!$B$4:$K$63,10,0))</f>
        <v>Honda Civic</v>
      </c>
      <c r="M17" s="316">
        <f>IF(ISBLANK($E17),"",IFERROR(VLOOKUP(E17,'G2 K7'!$D$7:$T$9,16,0),IFERROR(VLOOKUP(E17,'G2 K8'!$D$7:$T$54,16,0),IFERROR(VLOOKUP(E17,'G2 K9'!$D$7:$T$57,16,0),VLOOKUP(E17,'G2 K10'!$D$7:$T$53,16,0)))))</f>
        <v>2.0502083333333254E-2</v>
      </c>
      <c r="N17" s="245">
        <f>IF(ISBLANK($E17),"",IFERROR(VLOOKUP(E17,'G2 K7'!$D$7:$T$69,17,0),IFERROR(VLOOKUP(E17,'G2 K8'!$D$7:$T$54,17,0),IFERROR(VLOOKUP(E17,'G2 K9'!$D$7:$T$57,17,0),VLOOKUP(E17,'G2 K10'!$D$7:$T$53,17,0)))))</f>
        <v>19.36</v>
      </c>
      <c r="O17" s="201">
        <f t="shared" si="1"/>
        <v>7.38</v>
      </c>
      <c r="P17" s="202">
        <f t="shared" si="0"/>
        <v>26.74</v>
      </c>
      <c r="R17" s="198" t="str">
        <f t="shared" si="2"/>
        <v>ok</v>
      </c>
    </row>
    <row r="18" spans="2:18" s="197" customFormat="1" ht="27.75" customHeight="1">
      <c r="B18" s="188">
        <f t="shared" si="3"/>
        <v>13</v>
      </c>
      <c r="C18" s="199">
        <f>IF(ISBLANK($E18),"",VLOOKUP($E18,Teilnehmer!$B$4:$K$63,2,0))</f>
        <v>2</v>
      </c>
      <c r="D18" s="199">
        <f>IF(ISBLANK($E18),"",VLOOKUP($E18,Teilnehmer!$B$4:$K$63,3,0))</f>
        <v>9</v>
      </c>
      <c r="E18" s="200">
        <v>31</v>
      </c>
      <c r="F18" s="181" t="str">
        <f>IF(ISBLANK($E18),"",VLOOKUP($E18,Teilnehmer!$B$4:$K$63,4,0))</f>
        <v>Jäger Dirk</v>
      </c>
      <c r="G18" s="286" t="str">
        <f>IF(ISBLANK($E18),"",VLOOKUP($E18,Teilnehmer!$B$4:$K$63,5,0))</f>
        <v>-</v>
      </c>
      <c r="H18" s="287" t="str">
        <f>IF(ISBLANK($E18),"",VLOOKUP($E18,Teilnehmer!$B$4:$K$63,6,0))</f>
        <v>MSC Kitzbühel</v>
      </c>
      <c r="I18" s="181" t="str">
        <f>IF(ISBLANK($E18),"",VLOOKUP($E18,Teilnehmer!$B$4:$K$63,7,0))</f>
        <v>Hofmann Angela</v>
      </c>
      <c r="J18" s="286" t="str">
        <f>IF(ISBLANK($E18),"",VLOOKUP($E18,Teilnehmer!$B$4:$K$63,8,0))</f>
        <v>-</v>
      </c>
      <c r="K18" s="287" t="str">
        <f>IF(ISBLANK($E18),"",VLOOKUP($E18,Teilnehmer!$B$4:$K$63,9,0))</f>
        <v>-</v>
      </c>
      <c r="L18" s="315" t="str">
        <f>IF(ISBLANK($E18),"",VLOOKUP($E18,Teilnehmer!$B$4:$K$63,10,0))</f>
        <v>BMW 318is</v>
      </c>
      <c r="M18" s="316">
        <f>IF(ISBLANK($E18),"",IFERROR(VLOOKUP(E18,'G2 K7'!$D$7:$T$9,16,0),IFERROR(VLOOKUP(E18,'G2 K8'!$D$7:$T$54,16,0),IFERROR(VLOOKUP(E18,'G2 K9'!$D$7:$T$57,16,0),VLOOKUP(E18,'G2 K10'!$D$7:$T$53,16,0)))))</f>
        <v>2.0592013888888927E-2</v>
      </c>
      <c r="N18" s="245">
        <f>IF(ISBLANK($E18),"",IFERROR(VLOOKUP(E18,'G2 K7'!$D$7:$T$69,17,0),IFERROR(VLOOKUP(E18,'G2 K8'!$D$7:$T$54,17,0),IFERROR(VLOOKUP(E18,'G2 K9'!$D$7:$T$57,17,0),VLOOKUP(E18,'G2 K10'!$D$7:$T$53,17,0)))))</f>
        <v>17</v>
      </c>
      <c r="O18" s="201">
        <f t="shared" si="1"/>
        <v>7.14</v>
      </c>
      <c r="P18" s="202">
        <f t="shared" si="0"/>
        <v>24.14</v>
      </c>
      <c r="R18" s="198" t="str">
        <f t="shared" si="2"/>
        <v>ok</v>
      </c>
    </row>
    <row r="19" spans="2:18" s="197" customFormat="1" ht="27.75" customHeight="1">
      <c r="B19" s="188">
        <f t="shared" si="3"/>
        <v>14</v>
      </c>
      <c r="C19" s="199">
        <f>IF(ISBLANK($E19),"",VLOOKUP($E19,Teilnehmer!$B$4:$K$63,2,0))</f>
        <v>2</v>
      </c>
      <c r="D19" s="199">
        <f>IF(ISBLANK($E19),"",VLOOKUP($E19,Teilnehmer!$B$4:$K$63,3,0))</f>
        <v>8</v>
      </c>
      <c r="E19" s="200">
        <v>47</v>
      </c>
      <c r="F19" s="181" t="str">
        <f>IF(ISBLANK($E19),"",VLOOKUP($E19,Teilnehmer!$B$4:$K$63,4,0))</f>
        <v>Kahler Patrick</v>
      </c>
      <c r="G19" s="286" t="str">
        <f>IF(ISBLANK($E19),"",VLOOKUP($E19,Teilnehmer!$B$4:$K$63,5,0))</f>
        <v>-</v>
      </c>
      <c r="H19" s="287" t="str">
        <f>IF(ISBLANK($E19),"",VLOOKUP($E19,Teilnehmer!$B$4:$K$63,6,0))</f>
        <v>1stTime2nd-Rallyesport</v>
      </c>
      <c r="I19" s="181" t="str">
        <f>IF(ISBLANK($E19),"",VLOOKUP($E19,Teilnehmer!$B$4:$K$63,7,0))</f>
        <v>Schöppach Dominic</v>
      </c>
      <c r="J19" s="286" t="str">
        <f>IF(ISBLANK($E19),"",VLOOKUP($E19,Teilnehmer!$B$4:$K$63,8,0))</f>
        <v>-</v>
      </c>
      <c r="K19" s="287" t="str">
        <f>IF(ISBLANK($E19),"",VLOOKUP($E19,Teilnehmer!$B$4:$K$63,9,0))</f>
        <v>-</v>
      </c>
      <c r="L19" s="315" t="str">
        <f>IF(ISBLANK($E19),"",VLOOKUP($E19,Teilnehmer!$B$4:$K$63,10,0))</f>
        <v>Citroën Saxo VTS</v>
      </c>
      <c r="M19" s="316">
        <f>IF(ISBLANK($E19),"",IFERROR(VLOOKUP(E19,'G2 K7'!$D$7:$T$9,16,0),IFERROR(VLOOKUP(E19,'G2 K8'!$D$7:$T$54,16,0),IFERROR(VLOOKUP(E19,'G2 K9'!$D$7:$T$57,16,0),VLOOKUP(E19,'G2 K10'!$D$7:$T$53,16,0)))))</f>
        <v>2.0690162037036997E-2</v>
      </c>
      <c r="N19" s="245">
        <f>IF(ISBLANK($E19),"",IFERROR(VLOOKUP(E19,'G2 K7'!$D$7:$T$69,17,0),IFERROR(VLOOKUP(E19,'G2 K8'!$D$7:$T$54,17,0),IFERROR(VLOOKUP(E19,'G2 K9'!$D$7:$T$57,17,0),VLOOKUP(E19,'G2 K10'!$D$7:$T$53,17,0)))))</f>
        <v>17.55</v>
      </c>
      <c r="O19" s="201">
        <f t="shared" si="1"/>
        <v>6.9</v>
      </c>
      <c r="P19" s="202">
        <f t="shared" si="0"/>
        <v>24.45</v>
      </c>
      <c r="R19" s="198" t="str">
        <f t="shared" si="2"/>
        <v>ok</v>
      </c>
    </row>
    <row r="20" spans="2:18" s="197" customFormat="1" ht="27.75" customHeight="1">
      <c r="B20" s="188">
        <f t="shared" si="3"/>
        <v>15</v>
      </c>
      <c r="C20" s="199">
        <f>IF(ISBLANK($E20),"",VLOOKUP($E20,Teilnehmer!$B$4:$K$63,2,0))</f>
        <v>2</v>
      </c>
      <c r="D20" s="199">
        <f>IF(ISBLANK($E20),"",VLOOKUP($E20,Teilnehmer!$B$4:$K$63,3,0))</f>
        <v>9</v>
      </c>
      <c r="E20" s="200">
        <v>20</v>
      </c>
      <c r="F20" s="181" t="str">
        <f>IF(ISBLANK($E20),"",VLOOKUP($E20,Teilnehmer!$B$4:$K$63,4,0))</f>
        <v>Russ Armin</v>
      </c>
      <c r="G20" s="286">
        <f>IF(ISBLANK($E20),"",VLOOKUP($E20,Teilnehmer!$B$4:$K$63,5,0))</f>
        <v>15958</v>
      </c>
      <c r="H20" s="287" t="str">
        <f>IF(ISBLANK($E20),"",VLOOKUP($E20,Teilnehmer!$B$4:$K$63,6,0))</f>
        <v>MSC Untergröningen / MC Einsingen</v>
      </c>
      <c r="I20" s="181" t="str">
        <f>IF(ISBLANK($E20),"",VLOOKUP($E20,Teilnehmer!$B$4:$K$63,7,0))</f>
        <v>Hess Sarah</v>
      </c>
      <c r="J20" s="286">
        <f>IF(ISBLANK($E20),"",VLOOKUP($E20,Teilnehmer!$B$4:$K$63,8,0))</f>
        <v>16275</v>
      </c>
      <c r="K20" s="287" t="str">
        <f>IF(ISBLANK($E20),"",VLOOKUP($E20,Teilnehmer!$B$4:$K$63,9,0))</f>
        <v>-</v>
      </c>
      <c r="L20" s="315" t="str">
        <f>IF(ISBLANK($E20),"",VLOOKUP($E20,Teilnehmer!$B$4:$K$63,10,0))</f>
        <v>BMW E30 318is</v>
      </c>
      <c r="M20" s="316">
        <f>IF(ISBLANK($E20),"",IFERROR(VLOOKUP(E20,'G2 K7'!$D$7:$T$9,16,0),IFERROR(VLOOKUP(E20,'G2 K8'!$D$7:$T$54,16,0),IFERROR(VLOOKUP(E20,'G2 K9'!$D$7:$T$57,16,0),VLOOKUP(E20,'G2 K10'!$D$7:$T$53,16,0)))))</f>
        <v>2.0761689814814743E-2</v>
      </c>
      <c r="N20" s="245">
        <f>IF(ISBLANK($E20),"",IFERROR(VLOOKUP(E20,'G2 K7'!$D$7:$T$69,17,0),IFERROR(VLOOKUP(E20,'G2 K8'!$D$7:$T$54,17,0),IFERROR(VLOOKUP(E20,'G2 K9'!$D$7:$T$57,17,0),VLOOKUP(E20,'G2 K10'!$D$7:$T$53,17,0)))))</f>
        <v>16</v>
      </c>
      <c r="O20" s="201">
        <f t="shared" si="1"/>
        <v>6.67</v>
      </c>
      <c r="P20" s="202">
        <f t="shared" si="0"/>
        <v>22.67</v>
      </c>
      <c r="R20" s="198" t="str">
        <f t="shared" si="2"/>
        <v>ok</v>
      </c>
    </row>
    <row r="21" spans="2:18" s="197" customFormat="1" ht="27.75" customHeight="1">
      <c r="B21" s="188">
        <f t="shared" si="3"/>
        <v>16</v>
      </c>
      <c r="C21" s="199">
        <f>IF(ISBLANK($E21),"",VLOOKUP($E21,Teilnehmer!$B$4:$K$63,2,0))</f>
        <v>2</v>
      </c>
      <c r="D21" s="199">
        <f>IF(ISBLANK($E21),"",VLOOKUP($E21,Teilnehmer!$B$4:$K$63,3,0))</f>
        <v>9</v>
      </c>
      <c r="E21" s="200">
        <v>38</v>
      </c>
      <c r="F21" s="181" t="str">
        <f>IF(ISBLANK($E21),"",VLOOKUP($E21,Teilnehmer!$B$4:$K$63,4,0))</f>
        <v>Müller Moritz</v>
      </c>
      <c r="G21" s="286" t="str">
        <f>IF(ISBLANK($E21),"",VLOOKUP($E21,Teilnehmer!$B$4:$K$63,5,0))</f>
        <v>-</v>
      </c>
      <c r="H21" s="287" t="str">
        <f>IF(ISBLANK($E21),"",VLOOKUP($E21,Teilnehmer!$B$4:$K$63,6,0))</f>
        <v>-</v>
      </c>
      <c r="I21" s="181" t="str">
        <f>IF(ISBLANK($E21),"",VLOOKUP($E21,Teilnehmer!$B$4:$K$63,7,0))</f>
        <v>Müller Lukas</v>
      </c>
      <c r="J21" s="286" t="str">
        <f>IF(ISBLANK($E21),"",VLOOKUP($E21,Teilnehmer!$B$4:$K$63,8,0))</f>
        <v>-</v>
      </c>
      <c r="K21" s="287" t="str">
        <f>IF(ISBLANK($E21),"",VLOOKUP($E21,Teilnehmer!$B$4:$K$63,9,0))</f>
        <v>-</v>
      </c>
      <c r="L21" s="315" t="str">
        <f>IF(ISBLANK($E21),"",VLOOKUP($E21,Teilnehmer!$B$4:$K$63,10,0))</f>
        <v>Honda FN2</v>
      </c>
      <c r="M21" s="316">
        <f>IF(ISBLANK($E21),"",IFERROR(VLOOKUP(E21,'G2 K7'!$D$7:$T$9,16,0),IFERROR(VLOOKUP(E21,'G2 K8'!$D$7:$T$54,16,0),IFERROR(VLOOKUP(E21,'G2 K9'!$D$7:$T$57,16,0),VLOOKUP(E21,'G2 K10'!$D$7:$T$53,16,0)))))</f>
        <v>2.0779745370370195E-2</v>
      </c>
      <c r="N21" s="245">
        <f>IF(ISBLANK($E21),"",IFERROR(VLOOKUP(E21,'G2 K7'!$D$7:$T$69,17,0),IFERROR(VLOOKUP(E21,'G2 K8'!$D$7:$T$54,17,0),IFERROR(VLOOKUP(E21,'G2 K9'!$D$7:$T$57,17,0),VLOOKUP(E21,'G2 K10'!$D$7:$T$53,17,0)))))</f>
        <v>15</v>
      </c>
      <c r="O21" s="201">
        <f t="shared" si="1"/>
        <v>6.43</v>
      </c>
      <c r="P21" s="202">
        <f t="shared" si="0"/>
        <v>21.43</v>
      </c>
      <c r="R21" s="198" t="str">
        <f t="shared" si="2"/>
        <v>ok</v>
      </c>
    </row>
    <row r="22" spans="2:18" s="197" customFormat="1" ht="27.75" customHeight="1">
      <c r="B22" s="188">
        <f t="shared" si="3"/>
        <v>17</v>
      </c>
      <c r="C22" s="199">
        <f>IF(ISBLANK($E22),"",VLOOKUP($E22,Teilnehmer!$B$4:$K$63,2,0))</f>
        <v>2</v>
      </c>
      <c r="D22" s="199">
        <f>IF(ISBLANK($E22),"",VLOOKUP($E22,Teilnehmer!$B$4:$K$63,3,0))</f>
        <v>8</v>
      </c>
      <c r="E22" s="200">
        <v>40</v>
      </c>
      <c r="F22" s="181" t="str">
        <f>IF(ISBLANK($E22),"",VLOOKUP($E22,Teilnehmer!$B$4:$K$63,4,0))</f>
        <v>Preis Gerhard</v>
      </c>
      <c r="G22" s="286">
        <f>IF(ISBLANK($E22),"",VLOOKUP($E22,Teilnehmer!$B$4:$K$63,5,0))</f>
        <v>15058</v>
      </c>
      <c r="H22" s="287" t="str">
        <f>IF(ISBLANK($E22),"",VLOOKUP($E22,Teilnehmer!$B$4:$K$63,6,0))</f>
        <v>-</v>
      </c>
      <c r="I22" s="181" t="str">
        <f>IF(ISBLANK($E22),"",VLOOKUP($E22,Teilnehmer!$B$4:$K$63,7,0))</f>
        <v>Zellner Samuel</v>
      </c>
      <c r="J22" s="286">
        <f>IF(ISBLANK($E22),"",VLOOKUP($E22,Teilnehmer!$B$4:$K$63,8,0))</f>
        <v>16716</v>
      </c>
      <c r="K22" s="287" t="str">
        <f>IF(ISBLANK($E22),"",VLOOKUP($E22,Teilnehmer!$B$4:$K$63,9,0))</f>
        <v>-</v>
      </c>
      <c r="L22" s="315" t="str">
        <f>IF(ISBLANK($E22),"",VLOOKUP($E22,Teilnehmer!$B$4:$K$63,10,0))</f>
        <v>VW Polo GTI</v>
      </c>
      <c r="M22" s="316">
        <f>IF(ISBLANK($E22),"",IFERROR(VLOOKUP(E22,'G2 K7'!$D$7:$T$9,16,0),IFERROR(VLOOKUP(E22,'G2 K8'!$D$7:$T$54,16,0),IFERROR(VLOOKUP(E22,'G2 K9'!$D$7:$T$57,16,0),VLOOKUP(E22,'G2 K10'!$D$7:$T$53,16,0)))))</f>
        <v>2.0850462962962946E-2</v>
      </c>
      <c r="N22" s="245">
        <f>IF(ISBLANK($E22),"",IFERROR(VLOOKUP(E22,'G2 K7'!$D$7:$T$69,17,0),IFERROR(VLOOKUP(E22,'G2 K8'!$D$7:$T$54,17,0),IFERROR(VLOOKUP(E22,'G2 K9'!$D$7:$T$57,17,0),VLOOKUP(E22,'G2 K10'!$D$7:$T$53,17,0)))))</f>
        <v>15.73</v>
      </c>
      <c r="O22" s="201">
        <f t="shared" si="1"/>
        <v>6.19</v>
      </c>
      <c r="P22" s="202">
        <f t="shared" si="0"/>
        <v>21.92</v>
      </c>
      <c r="R22" s="198" t="str">
        <f t="shared" si="2"/>
        <v>ok</v>
      </c>
    </row>
    <row r="23" spans="2:18" s="197" customFormat="1" ht="27.75" customHeight="1">
      <c r="B23" s="188">
        <f t="shared" si="3"/>
        <v>18</v>
      </c>
      <c r="C23" s="199">
        <f>IF(ISBLANK($E23),"",VLOOKUP($E23,Teilnehmer!$B$4:$K$63,2,0))</f>
        <v>2</v>
      </c>
      <c r="D23" s="199">
        <f>IF(ISBLANK($E23),"",VLOOKUP($E23,Teilnehmer!$B$4:$K$63,3,0))</f>
        <v>8</v>
      </c>
      <c r="E23" s="200">
        <v>46</v>
      </c>
      <c r="F23" s="181" t="str">
        <f>IF(ISBLANK($E23),"",VLOOKUP($E23,Teilnehmer!$B$4:$K$63,4,0))</f>
        <v>Gärtner Daniel</v>
      </c>
      <c r="G23" s="286">
        <f>IF(ISBLANK($E23),"",VLOOKUP($E23,Teilnehmer!$B$4:$K$63,5,0))</f>
        <v>15636</v>
      </c>
      <c r="H23" s="287" t="str">
        <f>IF(ISBLANK($E23),"",VLOOKUP($E23,Teilnehmer!$B$4:$K$63,6,0))</f>
        <v>B+G Rallyesport</v>
      </c>
      <c r="I23" s="181" t="str">
        <f>IF(ISBLANK($E23),"",VLOOKUP($E23,Teilnehmer!$B$4:$K$63,7,0))</f>
        <v>Gärtner Yvonne</v>
      </c>
      <c r="J23" s="286">
        <f>IF(ISBLANK($E23),"",VLOOKUP($E23,Teilnehmer!$B$4:$K$63,8,0))</f>
        <v>15637</v>
      </c>
      <c r="K23" s="287" t="str">
        <f>IF(ISBLANK($E23),"",VLOOKUP($E23,Teilnehmer!$B$4:$K$63,9,0))</f>
        <v>-</v>
      </c>
      <c r="L23" s="315" t="str">
        <f>IF(ISBLANK($E23),"",VLOOKUP($E23,Teilnehmer!$B$4:$K$63,10,0))</f>
        <v>VW Golf I</v>
      </c>
      <c r="M23" s="316">
        <f>IF(ISBLANK($E23),"",IFERROR(VLOOKUP(E23,'G2 K7'!$D$7:$T$9,16,0),IFERROR(VLOOKUP(E23,'G2 K8'!$D$7:$T$54,16,0),IFERROR(VLOOKUP(E23,'G2 K9'!$D$7:$T$57,16,0),VLOOKUP(E23,'G2 K10'!$D$7:$T$53,16,0)))))</f>
        <v>2.1139236111111015E-2</v>
      </c>
      <c r="N23" s="245">
        <f>IF(ISBLANK($E23),"",IFERROR(VLOOKUP(E23,'G2 K7'!$D$7:$T$69,17,0),IFERROR(VLOOKUP(E23,'G2 K8'!$D$7:$T$54,17,0),IFERROR(VLOOKUP(E23,'G2 K9'!$D$7:$T$57,17,0),VLOOKUP(E23,'G2 K10'!$D$7:$T$53,17,0)))))</f>
        <v>13.91</v>
      </c>
      <c r="O23" s="201">
        <f t="shared" si="1"/>
        <v>5.95</v>
      </c>
      <c r="P23" s="202">
        <f t="shared" si="0"/>
        <v>19.86</v>
      </c>
      <c r="R23" s="198" t="str">
        <f t="shared" si="2"/>
        <v>ok</v>
      </c>
    </row>
    <row r="24" spans="2:18" s="197" customFormat="1" ht="27.75" customHeight="1">
      <c r="B24" s="188">
        <f t="shared" si="3"/>
        <v>19</v>
      </c>
      <c r="C24" s="199">
        <f>IF(ISBLANK($E24),"",VLOOKUP($E24,Teilnehmer!$B$4:$K$63,2,0))</f>
        <v>2</v>
      </c>
      <c r="D24" s="199">
        <f>IF(ISBLANK($E24),"",VLOOKUP($E24,Teilnehmer!$B$4:$K$63,3,0))</f>
        <v>9</v>
      </c>
      <c r="E24" s="200">
        <v>42</v>
      </c>
      <c r="F24" s="181" t="str">
        <f>IF(ISBLANK($E24),"",VLOOKUP($E24,Teilnehmer!$B$4:$K$63,4,0))</f>
        <v>Drexler Matthias</v>
      </c>
      <c r="G24" s="286">
        <f>IF(ISBLANK($E24),"",VLOOKUP($E24,Teilnehmer!$B$4:$K$63,5,0))</f>
        <v>16648</v>
      </c>
      <c r="H24" s="287" t="str">
        <f>IF(ISBLANK($E24),"",VLOOKUP($E24,Teilnehmer!$B$4:$K$63,6,0))</f>
        <v>Rallyeteam Drexler</v>
      </c>
      <c r="I24" s="181" t="str">
        <f>IF(ISBLANK($E24),"",VLOOKUP($E24,Teilnehmer!$B$4:$K$63,7,0))</f>
        <v>Berger Daniel</v>
      </c>
      <c r="J24" s="286">
        <f>IF(ISBLANK($E24),"",VLOOKUP($E24,Teilnehmer!$B$4:$K$63,8,0))</f>
        <v>15100</v>
      </c>
      <c r="K24" s="287" t="str">
        <f>IF(ISBLANK($E24),"",VLOOKUP($E24,Teilnehmer!$B$4:$K$63,9,0))</f>
        <v>Rallyeteam Drexler</v>
      </c>
      <c r="L24" s="315" t="str">
        <f>IF(ISBLANK($E24),"",VLOOKUP($E24,Teilnehmer!$B$4:$K$63,10,0))</f>
        <v>VW Golf II</v>
      </c>
      <c r="M24" s="316">
        <f>IF(ISBLANK($E24),"",IFERROR(VLOOKUP(E24,'G2 K7'!$D$7:$T$9,16,0),IFERROR(VLOOKUP(E24,'G2 K8'!$D$7:$T$54,16,0),IFERROR(VLOOKUP(E24,'G2 K9'!$D$7:$T$57,16,0),VLOOKUP(E24,'G2 K10'!$D$7:$T$53,16,0)))))</f>
        <v>2.1165277777777658E-2</v>
      </c>
      <c r="N24" s="245">
        <f>IF(ISBLANK($E24),"",IFERROR(VLOOKUP(E24,'G2 K7'!$D$7:$T$69,17,0),IFERROR(VLOOKUP(E24,'G2 K8'!$D$7:$T$54,17,0),IFERROR(VLOOKUP(E24,'G2 K9'!$D$7:$T$57,17,0),VLOOKUP(E24,'G2 K10'!$D$7:$T$53,17,0)))))</f>
        <v>14</v>
      </c>
      <c r="O24" s="201">
        <f t="shared" si="1"/>
        <v>5.71</v>
      </c>
      <c r="P24" s="202">
        <f t="shared" si="0"/>
        <v>19.71</v>
      </c>
      <c r="R24" s="198" t="str">
        <f t="shared" si="2"/>
        <v>ok</v>
      </c>
    </row>
    <row r="25" spans="2:18" s="197" customFormat="1" ht="27.75" customHeight="1">
      <c r="B25" s="188">
        <f t="shared" si="3"/>
        <v>20</v>
      </c>
      <c r="C25" s="199">
        <f>IF(ISBLANK($E25),"",VLOOKUP($E25,Teilnehmer!$B$4:$K$63,2,0))</f>
        <v>2</v>
      </c>
      <c r="D25" s="199">
        <f>IF(ISBLANK($E25),"",VLOOKUP($E25,Teilnehmer!$B$4:$K$63,3,0))</f>
        <v>9</v>
      </c>
      <c r="E25" s="200">
        <v>32</v>
      </c>
      <c r="F25" s="181" t="str">
        <f>IF(ISBLANK($E25),"",VLOOKUP($E25,Teilnehmer!$B$4:$K$63,4,0))</f>
        <v>Litzius Kurt</v>
      </c>
      <c r="G25" s="286">
        <f>IF(ISBLANK($E25),"",VLOOKUP($E25,Teilnehmer!$B$4:$K$63,5,0))</f>
        <v>8177</v>
      </c>
      <c r="H25" s="287" t="str">
        <f>IF(ISBLANK($E25),"",VLOOKUP($E25,Teilnehmer!$B$4:$K$63,6,0))</f>
        <v>-</v>
      </c>
      <c r="I25" s="181" t="str">
        <f>IF(ISBLANK($E25),"",VLOOKUP($E25,Teilnehmer!$B$4:$K$63,7,0))</f>
        <v>Litzius Mandy</v>
      </c>
      <c r="J25" s="286">
        <f>IF(ISBLANK($E25),"",VLOOKUP($E25,Teilnehmer!$B$4:$K$63,8,0))</f>
        <v>14447</v>
      </c>
      <c r="K25" s="287" t="str">
        <f>IF(ISBLANK($E25),"",VLOOKUP($E25,Teilnehmer!$B$4:$K$63,9,0))</f>
        <v>MSC Mamming / AMC Arzbach</v>
      </c>
      <c r="L25" s="315" t="str">
        <f>IF(ISBLANK($E25),"",VLOOKUP($E25,Teilnehmer!$B$4:$K$63,10,0))</f>
        <v>Opel Kadett C Coupé</v>
      </c>
      <c r="M25" s="316">
        <f>IF(ISBLANK($E25),"",IFERROR(VLOOKUP(E25,'G2 K7'!$D$7:$T$9,16,0),IFERROR(VLOOKUP(E25,'G2 K8'!$D$7:$T$54,16,0),IFERROR(VLOOKUP(E25,'G2 K9'!$D$7:$T$57,16,0),VLOOKUP(E25,'G2 K10'!$D$7:$T$53,16,0)))))</f>
        <v>2.1372569444444656E-2</v>
      </c>
      <c r="N25" s="245">
        <f>IF(ISBLANK($E25),"",IFERROR(VLOOKUP(E25,'G2 K7'!$D$7:$T$69,17,0),IFERROR(VLOOKUP(E25,'G2 K8'!$D$7:$T$54,17,0),IFERROR(VLOOKUP(E25,'G2 K9'!$D$7:$T$57,17,0),VLOOKUP(E25,'G2 K10'!$D$7:$T$53,17,0)))))</f>
        <v>13</v>
      </c>
      <c r="O25" s="201">
        <f t="shared" si="1"/>
        <v>5.48</v>
      </c>
      <c r="P25" s="202">
        <f t="shared" si="0"/>
        <v>18.48</v>
      </c>
      <c r="R25" s="198" t="str">
        <f t="shared" si="2"/>
        <v>ok</v>
      </c>
    </row>
    <row r="26" spans="2:18" s="197" customFormat="1" ht="27.75" customHeight="1">
      <c r="B26" s="188">
        <f t="shared" si="3"/>
        <v>21</v>
      </c>
      <c r="C26" s="199">
        <f>IF(ISBLANK($E26),"",VLOOKUP($E26,Teilnehmer!$B$4:$K$63,2,0))</f>
        <v>2</v>
      </c>
      <c r="D26" s="199">
        <f>IF(ISBLANK($E26),"",VLOOKUP($E26,Teilnehmer!$B$4:$K$63,3,0))</f>
        <v>9</v>
      </c>
      <c r="E26" s="200">
        <v>37</v>
      </c>
      <c r="F26" s="181" t="str">
        <f>IF(ISBLANK($E26),"",VLOOKUP($E26,Teilnehmer!$B$4:$K$63,4,0))</f>
        <v>Kohl Bernd</v>
      </c>
      <c r="G26" s="286" t="str">
        <f>IF(ISBLANK($E26),"",VLOOKUP($E26,Teilnehmer!$B$4:$K$63,5,0))</f>
        <v>-</v>
      </c>
      <c r="H26" s="287" t="str">
        <f>IF(ISBLANK($E26),"",VLOOKUP($E26,Teilnehmer!$B$4:$K$63,6,0))</f>
        <v>ASC Wilhelmsfeld</v>
      </c>
      <c r="I26" s="181" t="str">
        <f>IF(ISBLANK($E26),"",VLOOKUP($E26,Teilnehmer!$B$4:$K$63,7,0))</f>
        <v>Oster Roland</v>
      </c>
      <c r="J26" s="286" t="str">
        <f>IF(ISBLANK($E26),"",VLOOKUP($E26,Teilnehmer!$B$4:$K$63,8,0))</f>
        <v>-</v>
      </c>
      <c r="K26" s="287" t="str">
        <f>IF(ISBLANK($E26),"",VLOOKUP($E26,Teilnehmer!$B$4:$K$63,9,0))</f>
        <v>ASC Wilhelmsfeld</v>
      </c>
      <c r="L26" s="315" t="str">
        <f>IF(ISBLANK($E26),"",VLOOKUP($E26,Teilnehmer!$B$4:$K$63,10,0))</f>
        <v>BMW E30 318 IS</v>
      </c>
      <c r="M26" s="316">
        <f>IF(ISBLANK($E26),"",IFERROR(VLOOKUP(E26,'G2 K7'!$D$7:$T$9,16,0),IFERROR(VLOOKUP(E26,'G2 K8'!$D$7:$T$54,16,0),IFERROR(VLOOKUP(E26,'G2 K9'!$D$7:$T$57,16,0),VLOOKUP(E26,'G2 K10'!$D$7:$T$53,16,0)))))</f>
        <v>2.140729166666655E-2</v>
      </c>
      <c r="N26" s="245">
        <f>IF(ISBLANK($E26),"",IFERROR(VLOOKUP(E26,'G2 K7'!$D$7:$T$69,17,0),IFERROR(VLOOKUP(E26,'G2 K8'!$D$7:$T$54,17,0),IFERROR(VLOOKUP(E26,'G2 K9'!$D$7:$T$57,17,0),VLOOKUP(E26,'G2 K10'!$D$7:$T$53,17,0)))))</f>
        <v>12</v>
      </c>
      <c r="O26" s="201">
        <f t="shared" si="1"/>
        <v>5.24</v>
      </c>
      <c r="P26" s="202">
        <f t="shared" si="0"/>
        <v>17.239999999999998</v>
      </c>
      <c r="R26" s="198" t="str">
        <f t="shared" si="2"/>
        <v>ok</v>
      </c>
    </row>
    <row r="27" spans="2:18" s="197" customFormat="1" ht="27.75" customHeight="1">
      <c r="B27" s="188">
        <f t="shared" si="3"/>
        <v>22</v>
      </c>
      <c r="C27" s="199">
        <f>IF(ISBLANK($E27),"",VLOOKUP($E27,Teilnehmer!$B$4:$K$63,2,0))</f>
        <v>2</v>
      </c>
      <c r="D27" s="199">
        <f>IF(ISBLANK($E27),"",VLOOKUP($E27,Teilnehmer!$B$4:$K$63,3,0))</f>
        <v>8</v>
      </c>
      <c r="E27" s="200">
        <v>50</v>
      </c>
      <c r="F27" s="181" t="str">
        <f>IF(ISBLANK($E27),"",VLOOKUP($E27,Teilnehmer!$B$4:$K$63,4,0))</f>
        <v>Werner Harald</v>
      </c>
      <c r="G27" s="286">
        <f>IF(ISBLANK($E27),"",VLOOKUP($E27,Teilnehmer!$B$4:$K$63,5,0))</f>
        <v>20275</v>
      </c>
      <c r="H27" s="287" t="str">
        <f>IF(ISBLANK($E27),"",VLOOKUP($E27,Teilnehmer!$B$4:$K$63,6,0))</f>
        <v>RST Mittelfranken</v>
      </c>
      <c r="I27" s="181" t="str">
        <f>IF(ISBLANK($E27),"",VLOOKUP($E27,Teilnehmer!$B$4:$K$63,7,0))</f>
        <v>Bratfisch-Beltz Thomas</v>
      </c>
      <c r="J27" s="286">
        <f>IF(ISBLANK($E27),"",VLOOKUP($E27,Teilnehmer!$B$4:$K$63,8,0))</f>
        <v>40075</v>
      </c>
      <c r="K27" s="287" t="str">
        <f>IF(ISBLANK($E27),"",VLOOKUP($E27,Teilnehmer!$B$4:$K$63,9,0))</f>
        <v>MSC Berg</v>
      </c>
      <c r="L27" s="315" t="str">
        <f>IF(ISBLANK($E27),"",VLOOKUP($E27,Teilnehmer!$B$4:$K$63,10,0))</f>
        <v>Mitsubishi Colt</v>
      </c>
      <c r="M27" s="316">
        <f>IF(ISBLANK($E27),"",IFERROR(VLOOKUP(E27,'G2 K7'!$D$7:$T$9,16,0),IFERROR(VLOOKUP(E27,'G2 K8'!$D$7:$T$54,16,0),IFERROR(VLOOKUP(E27,'G2 K9'!$D$7:$T$57,16,0),VLOOKUP(E27,'G2 K10'!$D$7:$T$53,16,0)))))</f>
        <v>2.1824652777777842E-2</v>
      </c>
      <c r="N27" s="245">
        <f>IF(ISBLANK($E27),"",IFERROR(VLOOKUP(E27,'G2 K7'!$D$7:$T$69,17,0),IFERROR(VLOOKUP(E27,'G2 K8'!$D$7:$T$54,17,0),IFERROR(VLOOKUP(E27,'G2 K9'!$D$7:$T$57,17,0),VLOOKUP(E27,'G2 K10'!$D$7:$T$53,17,0)))))</f>
        <v>12.09</v>
      </c>
      <c r="O27" s="201">
        <f t="shared" si="1"/>
        <v>5</v>
      </c>
      <c r="P27" s="202">
        <f t="shared" si="0"/>
        <v>17.09</v>
      </c>
      <c r="R27" s="198" t="str">
        <f t="shared" si="2"/>
        <v>ok</v>
      </c>
    </row>
    <row r="28" spans="2:18" s="197" customFormat="1" ht="27.75" customHeight="1">
      <c r="B28" s="188">
        <f t="shared" si="3"/>
        <v>23</v>
      </c>
      <c r="C28" s="199">
        <f>IF(ISBLANK($E28),"",VLOOKUP($E28,Teilnehmer!$B$4:$K$63,2,0))</f>
        <v>2</v>
      </c>
      <c r="D28" s="199">
        <f>IF(ISBLANK($E28),"",VLOOKUP($E28,Teilnehmer!$B$4:$K$63,3,0))</f>
        <v>10</v>
      </c>
      <c r="E28" s="200">
        <v>16</v>
      </c>
      <c r="F28" s="181" t="str">
        <f>IF(ISBLANK($E28),"",VLOOKUP($E28,Teilnehmer!$B$4:$K$63,4,0))</f>
        <v>Schad Carsten</v>
      </c>
      <c r="G28" s="286" t="str">
        <f>IF(ISBLANK($E28),"",VLOOKUP($E28,Teilnehmer!$B$4:$K$63,5,0))</f>
        <v>-</v>
      </c>
      <c r="H28" s="287" t="str">
        <f>IF(ISBLANK($E28),"",VLOOKUP($E28,Teilnehmer!$B$4:$K$63,6,0))</f>
        <v>AMC Bad Königshofen</v>
      </c>
      <c r="I28" s="181" t="str">
        <f>IF(ISBLANK($E28),"",VLOOKUP($E28,Teilnehmer!$B$4:$K$63,7,0))</f>
        <v>Schad Alicia</v>
      </c>
      <c r="J28" s="286" t="str">
        <f>IF(ISBLANK($E28),"",VLOOKUP($E28,Teilnehmer!$B$4:$K$63,8,0))</f>
        <v>-</v>
      </c>
      <c r="K28" s="287" t="str">
        <f>IF(ISBLANK($E28),"",VLOOKUP($E28,Teilnehmer!$B$4:$K$63,9,0))</f>
        <v>AMC Bad Königshofen</v>
      </c>
      <c r="L28" s="315" t="str">
        <f>IF(ISBLANK($E28),"",VLOOKUP($E28,Teilnehmer!$B$4:$K$63,10,0))</f>
        <v>BMW M3 e36</v>
      </c>
      <c r="M28" s="316">
        <f>IF(ISBLANK($E28),"",IFERROR(VLOOKUP(E28,'G2 K7'!$D$7:$T$9,16,0),IFERROR(VLOOKUP(E28,'G2 K8'!$D$7:$T$54,16,0),IFERROR(VLOOKUP(E28,'G2 K9'!$D$7:$T$57,16,0),VLOOKUP(E28,'G2 K10'!$D$7:$T$53,16,0)))))</f>
        <v>2.1860648148148032E-2</v>
      </c>
      <c r="N28" s="245">
        <f>IF(ISBLANK($E28),"",IFERROR(VLOOKUP(E28,'G2 K7'!$D$7:$T$69,17,0),IFERROR(VLOOKUP(E28,'G2 K8'!$D$7:$T$54,17,0),IFERROR(VLOOKUP(E28,'G2 K9'!$D$7:$T$57,17,0),VLOOKUP(E28,'G2 K10'!$D$7:$T$53,17,0)))))</f>
        <v>18</v>
      </c>
      <c r="O28" s="201">
        <f t="shared" si="1"/>
        <v>4.76</v>
      </c>
      <c r="P28" s="202">
        <f t="shared" si="0"/>
        <v>22.76</v>
      </c>
      <c r="R28" s="198" t="str">
        <f t="shared" si="2"/>
        <v>ok</v>
      </c>
    </row>
    <row r="29" spans="2:18" s="197" customFormat="1" ht="27.75" customHeight="1">
      <c r="B29" s="188">
        <f t="shared" si="3"/>
        <v>24</v>
      </c>
      <c r="C29" s="199">
        <f>IF(ISBLANK($E29),"",VLOOKUP($E29,Teilnehmer!$B$4:$K$63,2,0))</f>
        <v>2</v>
      </c>
      <c r="D29" s="199">
        <f>IF(ISBLANK($E29),"",VLOOKUP($E29,Teilnehmer!$B$4:$K$63,3,0))</f>
        <v>10</v>
      </c>
      <c r="E29" s="200">
        <v>15</v>
      </c>
      <c r="F29" s="181" t="str">
        <f>IF(ISBLANK($E29),"",VLOOKUP($E29,Teilnehmer!$B$4:$K$63,4,0))</f>
        <v>Oest Marc</v>
      </c>
      <c r="G29" s="286" t="str">
        <f>IF(ISBLANK($E29),"",VLOOKUP($E29,Teilnehmer!$B$4:$K$63,5,0))</f>
        <v>-</v>
      </c>
      <c r="H29" s="287" t="str">
        <f>IF(ISBLANK($E29),"",VLOOKUP($E29,Teilnehmer!$B$4:$K$63,6,0))</f>
        <v>MSC Ramberg</v>
      </c>
      <c r="I29" s="181" t="str">
        <f>IF(ISBLANK($E29),"",VLOOKUP($E29,Teilnehmer!$B$4:$K$63,7,0))</f>
        <v>Oest Thomas</v>
      </c>
      <c r="J29" s="286" t="str">
        <f>IF(ISBLANK($E29),"",VLOOKUP($E29,Teilnehmer!$B$4:$K$63,8,0))</f>
        <v>-</v>
      </c>
      <c r="K29" s="287" t="str">
        <f>IF(ISBLANK($E29),"",VLOOKUP($E29,Teilnehmer!$B$4:$K$63,9,0))</f>
        <v>MSC Ramberg</v>
      </c>
      <c r="L29" s="315" t="str">
        <f>IF(ISBLANK($E29),"",VLOOKUP($E29,Teilnehmer!$B$4:$K$63,10,0))</f>
        <v>BMW 540i</v>
      </c>
      <c r="M29" s="316">
        <f>IF(ISBLANK($E29),"",IFERROR(VLOOKUP(E29,'G2 K7'!$D$7:$T$9,16,0),IFERROR(VLOOKUP(E29,'G2 K8'!$D$7:$T$54,16,0),IFERROR(VLOOKUP(E29,'G2 K9'!$D$7:$T$57,16,0),VLOOKUP(E29,'G2 K10'!$D$7:$T$53,16,0)))))</f>
        <v>2.1903587962962767E-2</v>
      </c>
      <c r="N29" s="245">
        <f>IF(ISBLANK($E29),"",IFERROR(VLOOKUP(E29,'G2 K7'!$D$7:$T$69,17,0),IFERROR(VLOOKUP(E29,'G2 K8'!$D$7:$T$54,17,0),IFERROR(VLOOKUP(E29,'G2 K9'!$D$7:$T$57,17,0),VLOOKUP(E29,'G2 K10'!$D$7:$T$53,17,0)))))</f>
        <v>15.5</v>
      </c>
      <c r="O29" s="201">
        <f t="shared" si="1"/>
        <v>4.5199999999999996</v>
      </c>
      <c r="P29" s="202">
        <f t="shared" si="0"/>
        <v>20.02</v>
      </c>
      <c r="R29" s="198" t="str">
        <f t="shared" si="2"/>
        <v>ok</v>
      </c>
    </row>
    <row r="30" spans="2:18" s="197" customFormat="1" ht="27.75" customHeight="1">
      <c r="B30" s="188">
        <f t="shared" si="3"/>
        <v>25</v>
      </c>
      <c r="C30" s="199">
        <f>IF(ISBLANK($E30),"",VLOOKUP($E30,Teilnehmer!$B$4:$K$63,2,0))</f>
        <v>2</v>
      </c>
      <c r="D30" s="199">
        <f>IF(ISBLANK($E30),"",VLOOKUP($E30,Teilnehmer!$B$4:$K$63,3,0))</f>
        <v>10</v>
      </c>
      <c r="E30" s="200">
        <v>17</v>
      </c>
      <c r="F30" s="181" t="str">
        <f>IF(ISBLANK($E30),"",VLOOKUP($E30,Teilnehmer!$B$4:$K$63,4,0))</f>
        <v>Müller Werner</v>
      </c>
      <c r="G30" s="286" t="str">
        <f>IF(ISBLANK($E30),"",VLOOKUP($E30,Teilnehmer!$B$4:$K$63,5,0))</f>
        <v>-</v>
      </c>
      <c r="H30" s="287" t="str">
        <f>IF(ISBLANK($E30),"",VLOOKUP($E30,Teilnehmer!$B$4:$K$63,6,0))</f>
        <v>MSC Emmersdorf</v>
      </c>
      <c r="I30" s="181" t="str">
        <f>IF(ISBLANK($E30),"",VLOOKUP($E30,Teilnehmer!$B$4:$K$63,7,0))</f>
        <v>Trabs Jasmin</v>
      </c>
      <c r="J30" s="286" t="str">
        <f>IF(ISBLANK($E30),"",VLOOKUP($E30,Teilnehmer!$B$4:$K$63,8,0))</f>
        <v>-</v>
      </c>
      <c r="K30" s="287" t="str">
        <f>IF(ISBLANK($E30),"",VLOOKUP($E30,Teilnehmer!$B$4:$K$63,9,0))</f>
        <v>MSC Emmersdorf</v>
      </c>
      <c r="L30" s="315" t="str">
        <f>IF(ISBLANK($E30),"",VLOOKUP($E30,Teilnehmer!$B$4:$K$63,10,0))</f>
        <v>BMW BMW M3</v>
      </c>
      <c r="M30" s="316">
        <f>IF(ISBLANK($E30),"",IFERROR(VLOOKUP(E30,'G2 K7'!$D$7:$T$9,16,0),IFERROR(VLOOKUP(E30,'G2 K8'!$D$7:$T$54,16,0),IFERROR(VLOOKUP(E30,'G2 K9'!$D$7:$T$57,16,0),VLOOKUP(E30,'G2 K10'!$D$7:$T$53,16,0)))))</f>
        <v>2.2599884259259073E-2</v>
      </c>
      <c r="N30" s="245">
        <f>IF(ISBLANK($E30),"",IFERROR(VLOOKUP(E30,'G2 K7'!$D$7:$T$69,17,0),IFERROR(VLOOKUP(E30,'G2 K8'!$D$7:$T$54,17,0),IFERROR(VLOOKUP(E30,'G2 K9'!$D$7:$T$57,17,0),VLOOKUP(E30,'G2 K10'!$D$7:$T$53,17,0)))))</f>
        <v>13</v>
      </c>
      <c r="O30" s="201">
        <f t="shared" si="1"/>
        <v>4.29</v>
      </c>
      <c r="P30" s="202">
        <f t="shared" si="0"/>
        <v>17.29</v>
      </c>
      <c r="R30" s="198" t="str">
        <f t="shared" si="2"/>
        <v>ok</v>
      </c>
    </row>
    <row r="31" spans="2:18" s="197" customFormat="1" ht="27.75" customHeight="1">
      <c r="B31" s="188">
        <f t="shared" si="3"/>
        <v>26</v>
      </c>
      <c r="C31" s="199">
        <f>IF(ISBLANK($E31),"",VLOOKUP($E31,Teilnehmer!$B$4:$K$63,2,0))</f>
        <v>2</v>
      </c>
      <c r="D31" s="199">
        <f>IF(ISBLANK($E31),"",VLOOKUP($E31,Teilnehmer!$B$4:$K$63,3,0))</f>
        <v>8</v>
      </c>
      <c r="E31" s="200">
        <v>41</v>
      </c>
      <c r="F31" s="181" t="str">
        <f>IF(ISBLANK($E31),"",VLOOKUP($E31,Teilnehmer!$B$4:$K$63,4,0))</f>
        <v>Lange Kay Mario Oliver</v>
      </c>
      <c r="G31" s="286">
        <f>IF(ISBLANK($E31),"",VLOOKUP($E31,Teilnehmer!$B$4:$K$63,5,0))</f>
        <v>14751</v>
      </c>
      <c r="H31" s="287" t="str">
        <f>IF(ISBLANK($E31),"",VLOOKUP($E31,Teilnehmer!$B$4:$K$63,6,0))</f>
        <v>MSC Mamming</v>
      </c>
      <c r="I31" s="181" t="str">
        <f>IF(ISBLANK($E31),"",VLOOKUP($E31,Teilnehmer!$B$4:$K$63,7,0))</f>
        <v>Lange Nina</v>
      </c>
      <c r="J31" s="286">
        <f>IF(ISBLANK($E31),"",VLOOKUP($E31,Teilnehmer!$B$4:$K$63,8,0))</f>
        <v>15055</v>
      </c>
      <c r="K31" s="287" t="str">
        <f>IF(ISBLANK($E31),"",VLOOKUP($E31,Teilnehmer!$B$4:$K$63,9,0))</f>
        <v>MSC Mamming</v>
      </c>
      <c r="L31" s="315" t="str">
        <f>IF(ISBLANK($E31),"",VLOOKUP($E31,Teilnehmer!$B$4:$K$63,10,0))</f>
        <v>Honda Civic</v>
      </c>
      <c r="M31" s="316">
        <f>IF(ISBLANK($E31),"",IFERROR(VLOOKUP(E31,'G2 K7'!$D$7:$T$9,16,0),IFERROR(VLOOKUP(E31,'G2 K8'!$D$7:$T$54,16,0),IFERROR(VLOOKUP(E31,'G2 K9'!$D$7:$T$57,16,0),VLOOKUP(E31,'G2 K10'!$D$7:$T$53,16,0)))))</f>
        <v>2.3927546296296065E-2</v>
      </c>
      <c r="N31" s="245">
        <f>IF(ISBLANK($E31),"",IFERROR(VLOOKUP(E31,'G2 K7'!$D$7:$T$69,17,0),IFERROR(VLOOKUP(E31,'G2 K8'!$D$7:$T$54,17,0),IFERROR(VLOOKUP(E31,'G2 K9'!$D$7:$T$57,17,0),VLOOKUP(E31,'G2 K10'!$D$7:$T$53,17,0)))))</f>
        <v>10.27</v>
      </c>
      <c r="O31" s="201">
        <f t="shared" si="1"/>
        <v>4.05</v>
      </c>
      <c r="P31" s="202">
        <f t="shared" si="0"/>
        <v>14.32</v>
      </c>
      <c r="R31" s="198" t="str">
        <f t="shared" si="2"/>
        <v>ok</v>
      </c>
    </row>
    <row r="32" spans="2:18" s="197" customFormat="1" ht="27.75" customHeight="1">
      <c r="B32" s="188">
        <f t="shared" si="3"/>
        <v>27</v>
      </c>
      <c r="C32" s="199">
        <f>IF(ISBLANK($E32),"",VLOOKUP($E32,Teilnehmer!$B$4:$K$63,2,0))</f>
        <v>2</v>
      </c>
      <c r="D32" s="199">
        <f>IF(ISBLANK($E32),"",VLOOKUP($E32,Teilnehmer!$B$4:$K$63,3,0))</f>
        <v>8</v>
      </c>
      <c r="E32" s="200">
        <v>45</v>
      </c>
      <c r="F32" s="181" t="str">
        <f>IF(ISBLANK($E32),"",VLOOKUP($E32,Teilnehmer!$B$4:$K$63,4,0))</f>
        <v>Preis sen. Gerhard</v>
      </c>
      <c r="G32" s="286" t="str">
        <f>IF(ISBLANK($E32),"",VLOOKUP($E32,Teilnehmer!$B$4:$K$63,5,0))</f>
        <v>-</v>
      </c>
      <c r="H32" s="287" t="str">
        <f>IF(ISBLANK($E32),"",VLOOKUP($E32,Teilnehmer!$B$4:$K$63,6,0))</f>
        <v>-</v>
      </c>
      <c r="I32" s="181" t="str">
        <f>IF(ISBLANK($E32),"",VLOOKUP($E32,Teilnehmer!$B$4:$K$63,7,0))</f>
        <v>Ilgmeier Erwin</v>
      </c>
      <c r="J32" s="286" t="str">
        <f>IF(ISBLANK($E32),"",VLOOKUP($E32,Teilnehmer!$B$4:$K$63,8,0))</f>
        <v>-</v>
      </c>
      <c r="K32" s="287" t="str">
        <f>IF(ISBLANK($E32),"",VLOOKUP($E32,Teilnehmer!$B$4:$K$63,9,0))</f>
        <v>-</v>
      </c>
      <c r="L32" s="315" t="str">
        <f>IF(ISBLANK($E32),"",VLOOKUP($E32,Teilnehmer!$B$4:$K$63,10,0))</f>
        <v>Peugeot 206</v>
      </c>
      <c r="M32" s="316">
        <f>IF(ISBLANK($E32),"",IFERROR(VLOOKUP(E32,'G2 K7'!$D$7:$T$9,16,0),IFERROR(VLOOKUP(E32,'G2 K8'!$D$7:$T$54,16,0),IFERROR(VLOOKUP(E32,'G2 K9'!$D$7:$T$57,16,0),VLOOKUP(E32,'G2 K10'!$D$7:$T$53,16,0)))))</f>
        <v>2.8420486111111344E-2</v>
      </c>
      <c r="N32" s="245">
        <f>IF(ISBLANK($E32),"",IFERROR(VLOOKUP(E32,'G2 K7'!$D$7:$T$69,17,0),IFERROR(VLOOKUP(E32,'G2 K8'!$D$7:$T$54,17,0),IFERROR(VLOOKUP(E32,'G2 K9'!$D$7:$T$57,17,0),VLOOKUP(E32,'G2 K10'!$D$7:$T$53,17,0)))))</f>
        <v>8.4499999999999993</v>
      </c>
      <c r="O32" s="201">
        <f t="shared" ref="O32:O47" si="4">IF(ISBLANK(E32),"",ROUND(10-10*(B32-1)/$J$3,2))</f>
        <v>3.81</v>
      </c>
      <c r="P32" s="202">
        <f t="shared" ref="P32:P47" si="5">IF(ISBLANK(E32),"",ROUND(N32+O32,2))</f>
        <v>12.26</v>
      </c>
      <c r="R32" s="198" t="str">
        <f t="shared" si="2"/>
        <v>ok</v>
      </c>
    </row>
    <row r="33" spans="2:18" s="197" customFormat="1" ht="27.75" customHeight="1">
      <c r="B33" s="188">
        <f t="shared" si="3"/>
        <v>28</v>
      </c>
      <c r="C33" s="199">
        <f>IF(ISBLANK($E33),"",VLOOKUP($E33,Teilnehmer!$B$4:$K$63,2,0))</f>
        <v>2</v>
      </c>
      <c r="D33" s="199">
        <f>IF(ISBLANK($E33),"",VLOOKUP($E33,Teilnehmer!$B$4:$K$63,3,0))</f>
        <v>10</v>
      </c>
      <c r="E33" s="200">
        <v>19</v>
      </c>
      <c r="F33" s="181" t="str">
        <f>IF(ISBLANK($E33),"",VLOOKUP($E33,Teilnehmer!$B$4:$K$63,4,0))</f>
        <v>Stangl Mathias</v>
      </c>
      <c r="G33" s="286">
        <f>IF(ISBLANK($E33),"",VLOOKUP($E33,Teilnehmer!$B$4:$K$63,5,0))</f>
        <v>16636</v>
      </c>
      <c r="H33" s="287" t="str">
        <f>IF(ISBLANK($E33),"",VLOOKUP($E33,Teilnehmer!$B$4:$K$63,6,0))</f>
        <v>-</v>
      </c>
      <c r="I33" s="181" t="str">
        <f>IF(ISBLANK($E33),"",VLOOKUP($E33,Teilnehmer!$B$4:$K$63,7,0))</f>
        <v>Stangl Michael</v>
      </c>
      <c r="J33" s="286">
        <f>IF(ISBLANK($E33),"",VLOOKUP($E33,Teilnehmer!$B$4:$K$63,8,0))</f>
        <v>16635</v>
      </c>
      <c r="K33" s="287" t="str">
        <f>IF(ISBLANK($E33),"",VLOOKUP($E33,Teilnehmer!$B$4:$K$63,9,0))</f>
        <v>-</v>
      </c>
      <c r="L33" s="315" t="str">
        <f>IF(ISBLANK($E33),"",VLOOKUP($E33,Teilnehmer!$B$4:$K$63,10,0))</f>
        <v>BMW 320I (e36)</v>
      </c>
      <c r="M33" s="316">
        <f>IF(ISBLANK($E33),"",IFERROR(VLOOKUP(E33,'G2 K7'!$D$7:$T$9,16,0),IFERROR(VLOOKUP(E33,'G2 K8'!$D$7:$T$54,16,0),IFERROR(VLOOKUP(E33,'G2 K9'!$D$7:$T$57,16,0),VLOOKUP(E33,'G2 K10'!$D$7:$T$53,16,0)))))</f>
        <v>2.9641666666666604E-2</v>
      </c>
      <c r="N33" s="245">
        <f>IF(ISBLANK($E33),"",IFERROR(VLOOKUP(E33,'G2 K7'!$D$7:$T$69,17,0),IFERROR(VLOOKUP(E33,'G2 K8'!$D$7:$T$54,17,0),IFERROR(VLOOKUP(E33,'G2 K9'!$D$7:$T$57,17,0),VLOOKUP(E33,'G2 K10'!$D$7:$T$53,17,0)))))</f>
        <v>10.5</v>
      </c>
      <c r="O33" s="201">
        <f t="shared" si="4"/>
        <v>3.57</v>
      </c>
      <c r="P33" s="202">
        <f t="shared" si="5"/>
        <v>14.07</v>
      </c>
      <c r="R33" s="198" t="str">
        <f t="shared" si="2"/>
        <v>ok</v>
      </c>
    </row>
    <row r="34" spans="2:18" s="197" customFormat="1" ht="27.75" customHeight="1">
      <c r="B34" s="188">
        <f t="shared" si="3"/>
        <v>29</v>
      </c>
      <c r="C34" s="199">
        <f>IF(ISBLANK($E34),"",VLOOKUP($E34,Teilnehmer!$B$4:$K$63,2,0))</f>
        <v>2</v>
      </c>
      <c r="D34" s="199">
        <f>IF(ISBLANK($E34),"",VLOOKUP($E34,Teilnehmer!$B$4:$K$63,3,0))</f>
        <v>7</v>
      </c>
      <c r="E34" s="200">
        <v>52</v>
      </c>
      <c r="F34" s="181" t="str">
        <f>IF(ISBLANK($E34),"",VLOOKUP($E34,Teilnehmer!$B$4:$K$63,4,0))</f>
        <v>Thiel Rainer</v>
      </c>
      <c r="G34" s="286">
        <f>IF(ISBLANK($E34),"",VLOOKUP($E34,Teilnehmer!$B$4:$K$63,5,0))</f>
        <v>12291</v>
      </c>
      <c r="H34" s="287" t="str">
        <f>IF(ISBLANK($E34),"",VLOOKUP($E34,Teilnehmer!$B$4:$K$63,6,0))</f>
        <v>MSC Jura</v>
      </c>
      <c r="I34" s="181" t="str">
        <f>IF(ISBLANK($E34),"",VLOOKUP($E34,Teilnehmer!$B$4:$K$63,7,0))</f>
        <v>Thiel Daniel</v>
      </c>
      <c r="J34" s="286">
        <f>IF(ISBLANK($E34),"",VLOOKUP($E34,Teilnehmer!$B$4:$K$63,8,0))</f>
        <v>15785</v>
      </c>
      <c r="K34" s="287" t="str">
        <f>IF(ISBLANK($E34),"",VLOOKUP($E34,Teilnehmer!$B$4:$K$63,9,0))</f>
        <v>-</v>
      </c>
      <c r="L34" s="315" t="str">
        <f>IF(ISBLANK($E34),"",VLOOKUP($E34,Teilnehmer!$B$4:$K$63,10,0))</f>
        <v>FIAT Panda</v>
      </c>
      <c r="M34" s="316">
        <f>IF(ISBLANK($E34),"",IFERROR(VLOOKUP(E34,'G2 K7'!$D$7:$T$9,16,0),IFERROR(VLOOKUP(E34,'G2 K8'!$D$7:$T$54,16,0),IFERROR(VLOOKUP(E34,'G2 K9'!$D$7:$T$57,16,0),VLOOKUP(E34,'G2 K10'!$D$7:$T$53,16,0)))))</f>
        <v>3.3942129629629572E-2</v>
      </c>
      <c r="N34" s="245">
        <f>IF(ISBLANK($E34),"",IFERROR(VLOOKUP(E34,'G2 K7'!$D$7:$T$69,17,0),IFERROR(VLOOKUP(E34,'G2 K8'!$D$7:$T$54,17,0),IFERROR(VLOOKUP(E34,'G2 K9'!$D$7:$T$57,17,0),VLOOKUP(E34,'G2 K10'!$D$7:$T$53,17,0)))))</f>
        <v>16.329999999999998</v>
      </c>
      <c r="O34" s="201">
        <f t="shared" si="4"/>
        <v>3.33</v>
      </c>
      <c r="P34" s="202">
        <f t="shared" si="5"/>
        <v>19.66</v>
      </c>
      <c r="R34" s="198" t="str">
        <f t="shared" si="2"/>
        <v>ok</v>
      </c>
    </row>
    <row r="35" spans="2:18" s="197" customFormat="1" ht="27.75" customHeight="1">
      <c r="B35" s="188">
        <f t="shared" si="3"/>
        <v>30</v>
      </c>
      <c r="C35" s="199">
        <f>IF(ISBLANK($E35),"",VLOOKUP($E35,Teilnehmer!$B$4:$K$63,2,0))</f>
        <v>2</v>
      </c>
      <c r="D35" s="199">
        <f>IF(ISBLANK($E35),"",VLOOKUP($E35,Teilnehmer!$B$4:$K$63,3,0))</f>
        <v>10</v>
      </c>
      <c r="E35" s="200">
        <v>11</v>
      </c>
      <c r="F35" s="181" t="str">
        <f>IF(ISBLANK($E35),"",VLOOKUP($E35,Teilnehmer!$B$4:$K$63,4,0))</f>
        <v>Wundsam Sebastian</v>
      </c>
      <c r="G35" s="286">
        <f>IF(ISBLANK($E35),"",VLOOKUP($E35,Teilnehmer!$B$4:$K$63,5,0))</f>
        <v>14309</v>
      </c>
      <c r="H35" s="287" t="str">
        <f>IF(ISBLANK($E35),"",VLOOKUP($E35,Teilnehmer!$B$4:$K$63,6,0))</f>
        <v>SWF Weidwies</v>
      </c>
      <c r="I35" s="181" t="str">
        <f>IF(ISBLANK($E35),"",VLOOKUP($E35,Teilnehmer!$B$4:$K$63,7,0))</f>
        <v>Summer Sebastian</v>
      </c>
      <c r="J35" s="286">
        <f>IF(ISBLANK($E35),"",VLOOKUP($E35,Teilnehmer!$B$4:$K$63,8,0))</f>
        <v>16294</v>
      </c>
      <c r="K35" s="287" t="str">
        <f>IF(ISBLANK($E35),"",VLOOKUP($E35,Teilnehmer!$B$4:$K$63,9,0))</f>
        <v>SWF Weidwies</v>
      </c>
      <c r="L35" s="315" t="str">
        <f>IF(ISBLANK($E35),"",VLOOKUP($E35,Teilnehmer!$B$4:$K$63,10,0))</f>
        <v>BMW E36 M3</v>
      </c>
      <c r="M35" s="316" t="str">
        <f>IF(ISBLANK($E35),"",IFERROR(VLOOKUP(E35,'G2 K7'!$D$7:$T$9,16,0),IFERROR(VLOOKUP(E35,'G2 K8'!$D$7:$T$54,16,0),IFERROR(VLOOKUP(E35,'G2 K9'!$D$7:$T$57,16,0),VLOOKUP(E35,'G2 K10'!$D$7:$T$53,16,0)))))</f>
        <v>ADW</v>
      </c>
      <c r="N35" s="245">
        <f>IF(ISBLANK($E35),"",IFERROR(VLOOKUP(E35,'G2 K7'!$D$7:$T$69,17,0),IFERROR(VLOOKUP(E35,'G2 K8'!$D$7:$T$54,17,0),IFERROR(VLOOKUP(E35,'G2 K9'!$D$7:$T$57,17,0),VLOOKUP(E35,'G2 K10'!$D$7:$T$53,17,0)))))</f>
        <v>0</v>
      </c>
      <c r="O35" s="201">
        <v>0</v>
      </c>
      <c r="P35" s="202">
        <f t="shared" ref="P35:P46" si="6">IF(ISBLANK(E35),"",ROUND(N35+O35,2))</f>
        <v>0</v>
      </c>
      <c r="R35" s="198" t="str">
        <f t="shared" si="2"/>
        <v>Sortierung A bis Z</v>
      </c>
    </row>
    <row r="36" spans="2:18" s="197" customFormat="1" ht="27.75" customHeight="1">
      <c r="B36" s="188">
        <f t="shared" si="3"/>
        <v>31</v>
      </c>
      <c r="C36" s="199">
        <f>IF(ISBLANK($E36),"",VLOOKUP($E36,Teilnehmer!$B$4:$K$63,2,0))</f>
        <v>2</v>
      </c>
      <c r="D36" s="199">
        <f>IF(ISBLANK($E36),"",VLOOKUP($E36,Teilnehmer!$B$4:$K$63,3,0))</f>
        <v>10</v>
      </c>
      <c r="E36" s="200">
        <v>18</v>
      </c>
      <c r="F36" s="181" t="str">
        <f>IF(ISBLANK($E36),"",VLOOKUP($E36,Teilnehmer!$B$4:$K$63,4,0))</f>
        <v>Haselbeck Maximilian</v>
      </c>
      <c r="G36" s="286" t="str">
        <f>IF(ISBLANK($E36),"",VLOOKUP($E36,Teilnehmer!$B$4:$K$63,5,0))</f>
        <v>-</v>
      </c>
      <c r="H36" s="287" t="str">
        <f>IF(ISBLANK($E36),"",VLOOKUP($E36,Teilnehmer!$B$4:$K$63,6,0))</f>
        <v>-</v>
      </c>
      <c r="I36" s="181" t="str">
        <f>IF(ISBLANK($E36),"",VLOOKUP($E36,Teilnehmer!$B$4:$K$63,7,0))</f>
        <v>Haselbeck Alexander</v>
      </c>
      <c r="J36" s="286" t="str">
        <f>IF(ISBLANK($E36),"",VLOOKUP($E36,Teilnehmer!$B$4:$K$63,8,0))</f>
        <v>-</v>
      </c>
      <c r="K36" s="287" t="str">
        <f>IF(ISBLANK($E36),"",VLOOKUP($E36,Teilnehmer!$B$4:$K$63,9,0))</f>
        <v>-</v>
      </c>
      <c r="L36" s="315" t="str">
        <f>IF(ISBLANK($E36),"",VLOOKUP($E36,Teilnehmer!$B$4:$K$63,10,0))</f>
        <v>BMW 328i</v>
      </c>
      <c r="M36" s="316" t="str">
        <f>IF(ISBLANK($E36),"",IFERROR(VLOOKUP(E36,'G2 K7'!$D$7:$T$9,16,0),IFERROR(VLOOKUP(E36,'G2 K8'!$D$7:$T$54,16,0),IFERROR(VLOOKUP(E36,'G2 K9'!$D$7:$T$57,16,0),VLOOKUP(E36,'G2 K10'!$D$7:$T$53,16,0)))))</f>
        <v>ADW</v>
      </c>
      <c r="N36" s="245">
        <f>IF(ISBLANK($E36),"",IFERROR(VLOOKUP(E36,'G2 K7'!$D$7:$T$69,17,0),IFERROR(VLOOKUP(E36,'G2 K8'!$D$7:$T$54,17,0),IFERROR(VLOOKUP(E36,'G2 K9'!$D$7:$T$57,17,0),VLOOKUP(E36,'G2 K10'!$D$7:$T$53,17,0)))))</f>
        <v>0</v>
      </c>
      <c r="O36" s="201">
        <v>0</v>
      </c>
      <c r="P36" s="202">
        <f t="shared" si="6"/>
        <v>0</v>
      </c>
      <c r="R36" s="198" t="str">
        <f t="shared" si="2"/>
        <v>Sortierung A bis Z</v>
      </c>
    </row>
    <row r="37" spans="2:18" s="197" customFormat="1" ht="27.75" customHeight="1">
      <c r="B37" s="188">
        <f t="shared" si="3"/>
        <v>32</v>
      </c>
      <c r="C37" s="199">
        <f>IF(ISBLANK($E37),"",VLOOKUP($E37,Teilnehmer!$B$4:$K$63,2,0))</f>
        <v>2</v>
      </c>
      <c r="D37" s="199">
        <f>IF(ISBLANK($E37),"",VLOOKUP($E37,Teilnehmer!$B$4:$K$63,3,0))</f>
        <v>9</v>
      </c>
      <c r="E37" s="200">
        <v>22</v>
      </c>
      <c r="F37" s="181" t="str">
        <f>IF(ISBLANK($E37),"",VLOOKUP($E37,Teilnehmer!$B$4:$K$63,4,0))</f>
        <v>Schindler Thomas</v>
      </c>
      <c r="G37" s="286">
        <f>IF(ISBLANK($E37),"",VLOOKUP($E37,Teilnehmer!$B$4:$K$63,5,0))</f>
        <v>16713</v>
      </c>
      <c r="H37" s="287" t="str">
        <f>IF(ISBLANK($E37),"",VLOOKUP($E37,Teilnehmer!$B$4:$K$63,6,0))</f>
        <v>AC Gunzenhausen</v>
      </c>
      <c r="I37" s="181" t="str">
        <f>IF(ISBLANK($E37),"",VLOOKUP($E37,Teilnehmer!$B$4:$K$63,7,0))</f>
        <v>Bader Alina</v>
      </c>
      <c r="J37" s="286">
        <f>IF(ISBLANK($E37),"",VLOOKUP($E37,Teilnehmer!$B$4:$K$63,8,0))</f>
        <v>16723</v>
      </c>
      <c r="K37" s="287" t="str">
        <f>IF(ISBLANK($E37),"",VLOOKUP($E37,Teilnehmer!$B$4:$K$63,9,0))</f>
        <v>MSC Untergröningen</v>
      </c>
      <c r="L37" s="315" t="str">
        <f>IF(ISBLANK($E37),"",VLOOKUP($E37,Teilnehmer!$B$4:$K$63,10,0))</f>
        <v>Honda Civic</v>
      </c>
      <c r="M37" s="316" t="str">
        <f>IF(ISBLANK($E37),"",IFERROR(VLOOKUP(E37,'G2 K7'!$D$7:$T$9,16,0),IFERROR(VLOOKUP(E37,'G2 K8'!$D$7:$T$54,16,0),IFERROR(VLOOKUP(E37,'G2 K9'!$D$7:$T$57,16,0),VLOOKUP(E37,'G2 K10'!$D$7:$T$53,16,0)))))</f>
        <v>ADW</v>
      </c>
      <c r="N37" s="245">
        <f>IF(ISBLANK($E37),"",IFERROR(VLOOKUP(E37,'G2 K7'!$D$7:$T$69,17,0),IFERROR(VLOOKUP(E37,'G2 K8'!$D$7:$T$54,17,0),IFERROR(VLOOKUP(E37,'G2 K9'!$D$7:$T$57,17,0),VLOOKUP(E37,'G2 K10'!$D$7:$T$53,17,0)))))</f>
        <v>0</v>
      </c>
      <c r="O37" s="201">
        <v>0</v>
      </c>
      <c r="P37" s="202">
        <f t="shared" si="6"/>
        <v>0</v>
      </c>
      <c r="R37" s="198" t="str">
        <f t="shared" si="2"/>
        <v>Sortierung A bis Z</v>
      </c>
    </row>
    <row r="38" spans="2:18" s="197" customFormat="1" ht="27.75" customHeight="1">
      <c r="B38" s="188">
        <f t="shared" si="3"/>
        <v>33</v>
      </c>
      <c r="C38" s="199">
        <f>IF(ISBLANK($E38),"",VLOOKUP($E38,Teilnehmer!$B$4:$K$63,2,0))</f>
        <v>2</v>
      </c>
      <c r="D38" s="199">
        <f>IF(ISBLANK($E38),"",VLOOKUP($E38,Teilnehmer!$B$4:$K$63,3,0))</f>
        <v>9</v>
      </c>
      <c r="E38" s="200">
        <v>23</v>
      </c>
      <c r="F38" s="181" t="str">
        <f>IF(ISBLANK($E38),"",VLOOKUP($E38,Teilnehmer!$B$4:$K$63,4,0))</f>
        <v>Spieß Jürgen</v>
      </c>
      <c r="G38" s="286">
        <f>IF(ISBLANK($E38),"",VLOOKUP($E38,Teilnehmer!$B$4:$K$63,5,0))</f>
        <v>12467</v>
      </c>
      <c r="H38" s="287" t="str">
        <f>IF(ISBLANK($E38),"",VLOOKUP($E38,Teilnehmer!$B$4:$K$63,6,0))</f>
        <v>MSC Mamming</v>
      </c>
      <c r="I38" s="181" t="str">
        <f>IF(ISBLANK($E38),"",VLOOKUP($E38,Teilnehmer!$B$4:$K$63,7,0))</f>
        <v>Wythe Axel</v>
      </c>
      <c r="J38" s="286">
        <f>IF(ISBLANK($E38),"",VLOOKUP($E38,Teilnehmer!$B$4:$K$63,8,0))</f>
        <v>12778</v>
      </c>
      <c r="K38" s="287" t="str">
        <f>IF(ISBLANK($E38),"",VLOOKUP($E38,Teilnehmer!$B$4:$K$63,9,0))</f>
        <v>MSC Mamming</v>
      </c>
      <c r="L38" s="315" t="str">
        <f>IF(ISBLANK($E38),"",VLOOKUP($E38,Teilnehmer!$B$4:$K$63,10,0))</f>
        <v>Opel Ascona B</v>
      </c>
      <c r="M38" s="316" t="str">
        <f>IF(ISBLANK($E38),"",IFERROR(VLOOKUP(E38,'G2 K7'!$D$7:$T$9,16,0),IFERROR(VLOOKUP(E38,'G2 K8'!$D$7:$T$54,16,0),IFERROR(VLOOKUP(E38,'G2 K9'!$D$7:$T$57,16,0),VLOOKUP(E38,'G2 K10'!$D$7:$T$53,16,0)))))</f>
        <v>ADW</v>
      </c>
      <c r="N38" s="245">
        <f>IF(ISBLANK($E38),"",IFERROR(VLOOKUP(E38,'G2 K7'!$D$7:$T$69,17,0),IFERROR(VLOOKUP(E38,'G2 K8'!$D$7:$T$54,17,0),IFERROR(VLOOKUP(E38,'G2 K9'!$D$7:$T$57,17,0),VLOOKUP(E38,'G2 K10'!$D$7:$T$53,17,0)))))</f>
        <v>0</v>
      </c>
      <c r="O38" s="201">
        <v>0</v>
      </c>
      <c r="P38" s="202">
        <f t="shared" si="6"/>
        <v>0</v>
      </c>
      <c r="R38" s="198" t="str">
        <f t="shared" si="2"/>
        <v>Sortierung A bis Z</v>
      </c>
    </row>
    <row r="39" spans="2:18" s="197" customFormat="1" ht="27.75" customHeight="1">
      <c r="B39" s="188">
        <f t="shared" si="3"/>
        <v>34</v>
      </c>
      <c r="C39" s="199">
        <f>IF(ISBLANK($E39),"",VLOOKUP($E39,Teilnehmer!$B$4:$K$63,2,0))</f>
        <v>2</v>
      </c>
      <c r="D39" s="199">
        <f>IF(ISBLANK($E39),"",VLOOKUP($E39,Teilnehmer!$B$4:$K$63,3,0))</f>
        <v>9</v>
      </c>
      <c r="E39" s="200">
        <v>24</v>
      </c>
      <c r="F39" s="181" t="str">
        <f>IF(ISBLANK($E39),"",VLOOKUP($E39,Teilnehmer!$B$4:$K$63,4,0))</f>
        <v>Böhringer Jochen</v>
      </c>
      <c r="G39" s="286" t="str">
        <f>IF(ISBLANK($E39),"",VLOOKUP($E39,Teilnehmer!$B$4:$K$63,5,0))</f>
        <v>-</v>
      </c>
      <c r="H39" s="287" t="str">
        <f>IF(ISBLANK($E39),"",VLOOKUP($E39,Teilnehmer!$B$4:$K$63,6,0))</f>
        <v>HWRT Wohlmuthausen</v>
      </c>
      <c r="I39" s="181" t="str">
        <f>IF(ISBLANK($E39),"",VLOOKUP($E39,Teilnehmer!$B$4:$K$63,7,0))</f>
        <v>Arnold Patrick</v>
      </c>
      <c r="J39" s="286" t="str">
        <f>IF(ISBLANK($E39),"",VLOOKUP($E39,Teilnehmer!$B$4:$K$63,8,0))</f>
        <v>-</v>
      </c>
      <c r="K39" s="287" t="str">
        <f>IF(ISBLANK($E39),"",VLOOKUP($E39,Teilnehmer!$B$4:$K$63,9,0))</f>
        <v>HWRT Wohlmuthausen</v>
      </c>
      <c r="L39" s="315" t="str">
        <f>IF(ISBLANK($E39),"",VLOOKUP($E39,Teilnehmer!$B$4:$K$63,10,0))</f>
        <v>BMW E30 - 318 IS</v>
      </c>
      <c r="M39" s="316" t="str">
        <f>IF(ISBLANK($E39),"",IFERROR(VLOOKUP(E39,'G2 K7'!$D$7:$T$9,16,0),IFERROR(VLOOKUP(E39,'G2 K8'!$D$7:$T$54,16,0),IFERROR(VLOOKUP(E39,'G2 K9'!$D$7:$T$57,16,0),VLOOKUP(E39,'G2 K10'!$D$7:$T$53,16,0)))))</f>
        <v>ADW</v>
      </c>
      <c r="N39" s="245">
        <f>IF(ISBLANK($E39),"",IFERROR(VLOOKUP(E39,'G2 K7'!$D$7:$T$69,17,0),IFERROR(VLOOKUP(E39,'G2 K8'!$D$7:$T$54,17,0),IFERROR(VLOOKUP(E39,'G2 K9'!$D$7:$T$57,17,0),VLOOKUP(E39,'G2 K10'!$D$7:$T$53,17,0)))))</f>
        <v>0</v>
      </c>
      <c r="O39" s="201">
        <v>0</v>
      </c>
      <c r="P39" s="202">
        <f t="shared" si="6"/>
        <v>0</v>
      </c>
      <c r="R39" s="198" t="str">
        <f t="shared" si="2"/>
        <v>Sortierung A bis Z</v>
      </c>
    </row>
    <row r="40" spans="2:18" s="197" customFormat="1" ht="27.75" customHeight="1">
      <c r="B40" s="188">
        <f t="shared" si="3"/>
        <v>35</v>
      </c>
      <c r="C40" s="199">
        <f>IF(ISBLANK($E40),"",VLOOKUP($E40,Teilnehmer!$B$4:$K$63,2,0))</f>
        <v>2</v>
      </c>
      <c r="D40" s="199">
        <f>IF(ISBLANK($E40),"",VLOOKUP($E40,Teilnehmer!$B$4:$K$63,3,0))</f>
        <v>9</v>
      </c>
      <c r="E40" s="200">
        <v>27</v>
      </c>
      <c r="F40" s="181" t="str">
        <f>IF(ISBLANK($E40),"",VLOOKUP($E40,Teilnehmer!$B$4:$K$63,4,0))</f>
        <v>Kögl Hans</v>
      </c>
      <c r="G40" s="286" t="str">
        <f>IF(ISBLANK($E40),"",VLOOKUP($E40,Teilnehmer!$B$4:$K$63,5,0))</f>
        <v>-</v>
      </c>
      <c r="H40" s="287" t="str">
        <f>IF(ISBLANK($E40),"",VLOOKUP($E40,Teilnehmer!$B$4:$K$63,6,0))</f>
        <v>MSF Freising</v>
      </c>
      <c r="I40" s="181" t="str">
        <f>IF(ISBLANK($E40),"",VLOOKUP($E40,Teilnehmer!$B$4:$K$63,7,0))</f>
        <v>Schwaiger Thomas</v>
      </c>
      <c r="J40" s="286" t="str">
        <f>IF(ISBLANK($E40),"",VLOOKUP($E40,Teilnehmer!$B$4:$K$63,8,0))</f>
        <v>-</v>
      </c>
      <c r="K40" s="287" t="str">
        <f>IF(ISBLANK($E40),"",VLOOKUP($E40,Teilnehmer!$B$4:$K$63,9,0))</f>
        <v>MSF Freising</v>
      </c>
      <c r="L40" s="315" t="str">
        <f>IF(ISBLANK($E40),"",VLOOKUP($E40,Teilnehmer!$B$4:$K$63,10,0))</f>
        <v>Opel Kadett E GSI</v>
      </c>
      <c r="M40" s="316" t="str">
        <f>IF(ISBLANK($E40),"",IFERROR(VLOOKUP(E40,'G2 K7'!$D$7:$T$9,16,0),IFERROR(VLOOKUP(E40,'G2 K8'!$D$7:$T$54,16,0),IFERROR(VLOOKUP(E40,'G2 K9'!$D$7:$T$57,16,0),VLOOKUP(E40,'G2 K10'!$D$7:$T$53,16,0)))))</f>
        <v>ADW</v>
      </c>
      <c r="N40" s="245">
        <f>IF(ISBLANK($E40),"",IFERROR(VLOOKUP(E40,'G2 K7'!$D$7:$T$69,17,0),IFERROR(VLOOKUP(E40,'G2 K8'!$D$7:$T$54,17,0),IFERROR(VLOOKUP(E40,'G2 K9'!$D$7:$T$57,17,0),VLOOKUP(E40,'G2 K10'!$D$7:$T$53,17,0)))))</f>
        <v>0</v>
      </c>
      <c r="O40" s="201">
        <v>0</v>
      </c>
      <c r="P40" s="202">
        <f t="shared" si="6"/>
        <v>0</v>
      </c>
      <c r="R40" s="198" t="str">
        <f t="shared" si="2"/>
        <v>Sortierung A bis Z</v>
      </c>
    </row>
    <row r="41" spans="2:18" s="197" customFormat="1" ht="27.75" customHeight="1">
      <c r="B41" s="188">
        <f t="shared" si="3"/>
        <v>36</v>
      </c>
      <c r="C41" s="199">
        <f>IF(ISBLANK($E41),"",VLOOKUP($E41,Teilnehmer!$B$4:$K$63,2,0))</f>
        <v>2</v>
      </c>
      <c r="D41" s="199">
        <f>IF(ISBLANK($E41),"",VLOOKUP($E41,Teilnehmer!$B$4:$K$63,3,0))</f>
        <v>9</v>
      </c>
      <c r="E41" s="200">
        <v>28</v>
      </c>
      <c r="F41" s="181" t="str">
        <f>IF(ISBLANK($E41),"",VLOOKUP($E41,Teilnehmer!$B$4:$K$63,4,0))</f>
        <v>Teves Daniel</v>
      </c>
      <c r="G41" s="286">
        <f>IF(ISBLANK($E41),"",VLOOKUP($E41,Teilnehmer!$B$4:$K$63,5,0))</f>
        <v>16640</v>
      </c>
      <c r="H41" s="287" t="str">
        <f>IF(ISBLANK($E41),"",VLOOKUP($E41,Teilnehmer!$B$4:$K$63,6,0))</f>
        <v>Taunus-Racing-Team</v>
      </c>
      <c r="I41" s="181" t="str">
        <f>IF(ISBLANK($E41),"",VLOOKUP($E41,Teilnehmer!$B$4:$K$63,7,0))</f>
        <v>Meditz Michael</v>
      </c>
      <c r="J41" s="286" t="str">
        <f>IF(ISBLANK($E41),"",VLOOKUP($E41,Teilnehmer!$B$4:$K$63,8,0))</f>
        <v>-</v>
      </c>
      <c r="K41" s="287" t="str">
        <f>IF(ISBLANK($E41),"",VLOOKUP($E41,Teilnehmer!$B$4:$K$63,9,0))</f>
        <v>-</v>
      </c>
      <c r="L41" s="315" t="str">
        <f>IF(ISBLANK($E41),"",VLOOKUP($E41,Teilnehmer!$B$4:$K$63,10,0))</f>
        <v>BMW 318 IS CUP</v>
      </c>
      <c r="M41" s="316" t="str">
        <f>IF(ISBLANK($E41),"",IFERROR(VLOOKUP(E41,'G2 K7'!$D$7:$T$9,16,0),IFERROR(VLOOKUP(E41,'G2 K8'!$D$7:$T$54,16,0),IFERROR(VLOOKUP(E41,'G2 K9'!$D$7:$T$57,16,0),VLOOKUP(E41,'G2 K10'!$D$7:$T$53,16,0)))))</f>
        <v>ADW</v>
      </c>
      <c r="N41" s="245">
        <f>IF(ISBLANK($E41),"",IFERROR(VLOOKUP(E41,'G2 K7'!$D$7:$T$69,17,0),IFERROR(VLOOKUP(E41,'G2 K8'!$D$7:$T$54,17,0),IFERROR(VLOOKUP(E41,'G2 K9'!$D$7:$T$57,17,0),VLOOKUP(E41,'G2 K10'!$D$7:$T$53,17,0)))))</f>
        <v>0</v>
      </c>
      <c r="O41" s="201">
        <v>0</v>
      </c>
      <c r="P41" s="202">
        <f t="shared" si="6"/>
        <v>0</v>
      </c>
      <c r="R41" s="198" t="str">
        <f t="shared" si="2"/>
        <v>Sortierung A bis Z</v>
      </c>
    </row>
    <row r="42" spans="2:18" s="197" customFormat="1" ht="27.75" customHeight="1">
      <c r="B42" s="188">
        <f t="shared" si="3"/>
        <v>37</v>
      </c>
      <c r="C42" s="199">
        <f>IF(ISBLANK($E42),"",VLOOKUP($E42,Teilnehmer!$B$4:$K$63,2,0))</f>
        <v>2</v>
      </c>
      <c r="D42" s="199">
        <f>IF(ISBLANK($E42),"",VLOOKUP($E42,Teilnehmer!$B$4:$K$63,3,0))</f>
        <v>9</v>
      </c>
      <c r="E42" s="200">
        <v>29</v>
      </c>
      <c r="F42" s="181" t="str">
        <f>IF(ISBLANK($E42),"",VLOOKUP($E42,Teilnehmer!$B$4:$K$63,4,0))</f>
        <v>Kraus Florian</v>
      </c>
      <c r="G42" s="286" t="str">
        <f>IF(ISBLANK($E42),"",VLOOKUP($E42,Teilnehmer!$B$4:$K$63,5,0))</f>
        <v>-</v>
      </c>
      <c r="H42" s="287" t="str">
        <f>IF(ISBLANK($E42),"",VLOOKUP($E42,Teilnehmer!$B$4:$K$63,6,0))</f>
        <v>-</v>
      </c>
      <c r="I42" s="181" t="str">
        <f>IF(ISBLANK($E42),"",VLOOKUP($E42,Teilnehmer!$B$4:$K$63,7,0))</f>
        <v>Thiel Sabrina</v>
      </c>
      <c r="J42" s="286">
        <f>IF(ISBLANK($E42),"",VLOOKUP($E42,Teilnehmer!$B$4:$K$63,8,0))</f>
        <v>14904</v>
      </c>
      <c r="K42" s="287" t="str">
        <f>IF(ISBLANK($E42),"",VLOOKUP($E42,Teilnehmer!$B$4:$K$63,9,0))</f>
        <v>MSC Jura</v>
      </c>
      <c r="L42" s="315" t="str">
        <f>IF(ISBLANK($E42),"",VLOOKUP($E42,Teilnehmer!$B$4:$K$63,10,0))</f>
        <v>VW Golf 3</v>
      </c>
      <c r="M42" s="316" t="str">
        <f>IF(ISBLANK($E42),"",IFERROR(VLOOKUP(E42,'G2 K7'!$D$7:$T$9,16,0),IFERROR(VLOOKUP(E42,'G2 K8'!$D$7:$T$54,16,0),IFERROR(VLOOKUP(E42,'G2 K9'!$D$7:$T$57,16,0),VLOOKUP(E42,'G2 K10'!$D$7:$T$53,16,0)))))</f>
        <v>ADW</v>
      </c>
      <c r="N42" s="245">
        <f>IF(ISBLANK($E42),"",IFERROR(VLOOKUP(E42,'G2 K7'!$D$7:$T$69,17,0),IFERROR(VLOOKUP(E42,'G2 K8'!$D$7:$T$54,17,0),IFERROR(VLOOKUP(E42,'G2 K9'!$D$7:$T$57,17,0),VLOOKUP(E42,'G2 K10'!$D$7:$T$53,17,0)))))</f>
        <v>0</v>
      </c>
      <c r="O42" s="201">
        <v>0</v>
      </c>
      <c r="P42" s="202">
        <f t="shared" si="6"/>
        <v>0</v>
      </c>
      <c r="R42" s="198" t="str">
        <f t="shared" si="2"/>
        <v>Sortierung A bis Z</v>
      </c>
    </row>
    <row r="43" spans="2:18" s="197" customFormat="1" ht="27.75" customHeight="1">
      <c r="B43" s="188">
        <f t="shared" si="3"/>
        <v>38</v>
      </c>
      <c r="C43" s="199">
        <f>IF(ISBLANK($E43),"",VLOOKUP($E43,Teilnehmer!$B$4:$K$63,2,0))</f>
        <v>2</v>
      </c>
      <c r="D43" s="199">
        <f>IF(ISBLANK($E43),"",VLOOKUP($E43,Teilnehmer!$B$4:$K$63,3,0))</f>
        <v>9</v>
      </c>
      <c r="E43" s="200">
        <v>30</v>
      </c>
      <c r="F43" s="181" t="str">
        <f>IF(ISBLANK($E43),"",VLOOKUP($E43,Teilnehmer!$B$4:$K$63,4,0))</f>
        <v>Röhrig Christian</v>
      </c>
      <c r="G43" s="286" t="str">
        <f>IF(ISBLANK($E43),"",VLOOKUP($E43,Teilnehmer!$B$4:$K$63,5,0))</f>
        <v>-</v>
      </c>
      <c r="H43" s="287" t="str">
        <f>IF(ISBLANK($E43),"",VLOOKUP($E43,Teilnehmer!$B$4:$K$63,6,0))</f>
        <v>MSC Zorn</v>
      </c>
      <c r="I43" s="181" t="str">
        <f>IF(ISBLANK($E43),"",VLOOKUP($E43,Teilnehmer!$B$4:$K$63,7,0))</f>
        <v>Behnke Jonas</v>
      </c>
      <c r="J43" s="286" t="str">
        <f>IF(ISBLANK($E43),"",VLOOKUP($E43,Teilnehmer!$B$4:$K$63,8,0))</f>
        <v>-</v>
      </c>
      <c r="K43" s="287" t="str">
        <f>IF(ISBLANK($E43),"",VLOOKUP($E43,Teilnehmer!$B$4:$K$63,9,0))</f>
        <v>MSC Zorn</v>
      </c>
      <c r="L43" s="315" t="str">
        <f>IF(ISBLANK($E43),"",VLOOKUP($E43,Teilnehmer!$B$4:$K$63,10,0))</f>
        <v>Peugeot 309 GTI</v>
      </c>
      <c r="M43" s="316" t="str">
        <f>IF(ISBLANK($E43),"",IFERROR(VLOOKUP(E43,'G2 K7'!$D$7:$T$9,16,0),IFERROR(VLOOKUP(E43,'G2 K8'!$D$7:$T$54,16,0),IFERROR(VLOOKUP(E43,'G2 K9'!$D$7:$T$57,16,0),VLOOKUP(E43,'G2 K10'!$D$7:$T$53,16,0)))))</f>
        <v>ADW</v>
      </c>
      <c r="N43" s="245">
        <f>IF(ISBLANK($E43),"",IFERROR(VLOOKUP(E43,'G2 K7'!$D$7:$T$69,17,0),IFERROR(VLOOKUP(E43,'G2 K8'!$D$7:$T$54,17,0),IFERROR(VLOOKUP(E43,'G2 K9'!$D$7:$T$57,17,0),VLOOKUP(E43,'G2 K10'!$D$7:$T$53,17,0)))))</f>
        <v>0</v>
      </c>
      <c r="O43" s="201">
        <v>0</v>
      </c>
      <c r="P43" s="202">
        <f t="shared" si="6"/>
        <v>0</v>
      </c>
      <c r="R43" s="198" t="str">
        <f t="shared" si="2"/>
        <v>Sortierung A bis Z</v>
      </c>
    </row>
    <row r="44" spans="2:18" s="197" customFormat="1" ht="27.75" customHeight="1">
      <c r="B44" s="188">
        <f t="shared" si="3"/>
        <v>39</v>
      </c>
      <c r="C44" s="199">
        <f>IF(ISBLANK($E44),"",VLOOKUP($E44,Teilnehmer!$B$4:$K$63,2,0))</f>
        <v>2</v>
      </c>
      <c r="D44" s="199">
        <f>IF(ISBLANK($E44),"",VLOOKUP($E44,Teilnehmer!$B$4:$K$63,3,0))</f>
        <v>9</v>
      </c>
      <c r="E44" s="200">
        <v>36</v>
      </c>
      <c r="F44" s="181" t="str">
        <f>IF(ISBLANK($E44),"",VLOOKUP($E44,Teilnehmer!$B$4:$K$63,4,0))</f>
        <v>Schwarz Timo</v>
      </c>
      <c r="G44" s="286" t="str">
        <f>IF(ISBLANK($E44),"",VLOOKUP($E44,Teilnehmer!$B$4:$K$63,5,0))</f>
        <v>-</v>
      </c>
      <c r="H44" s="287" t="str">
        <f>IF(ISBLANK($E44),"",VLOOKUP($E44,Teilnehmer!$B$4:$K$63,6,0))</f>
        <v>-</v>
      </c>
      <c r="I44" s="181" t="str">
        <f>IF(ISBLANK($E44),"",VLOOKUP($E44,Teilnehmer!$B$4:$K$63,7,0))</f>
        <v>Himmelstoß Florian</v>
      </c>
      <c r="J44" s="286" t="str">
        <f>IF(ISBLANK($E44),"",VLOOKUP($E44,Teilnehmer!$B$4:$K$63,8,0))</f>
        <v>-</v>
      </c>
      <c r="K44" s="287" t="str">
        <f>IF(ISBLANK($E44),"",VLOOKUP($E44,Teilnehmer!$B$4:$K$63,9,0))</f>
        <v>-</v>
      </c>
      <c r="L44" s="315" t="str">
        <f>IF(ISBLANK($E44),"",VLOOKUP($E44,Teilnehmer!$B$4:$K$63,10,0))</f>
        <v>Opel Manta B</v>
      </c>
      <c r="M44" s="316" t="str">
        <f>IF(ISBLANK($E44),"",IFERROR(VLOOKUP(E44,'G2 K7'!$D$7:$T$9,16,0),IFERROR(VLOOKUP(E44,'G2 K8'!$D$7:$T$54,16,0),IFERROR(VLOOKUP(E44,'G2 K9'!$D$7:$T$57,16,0),VLOOKUP(E44,'G2 K10'!$D$7:$T$53,16,0)))))</f>
        <v>ADW</v>
      </c>
      <c r="N44" s="245">
        <f>IF(ISBLANK($E44),"",IFERROR(VLOOKUP(E44,'G2 K7'!$D$7:$T$69,17,0),IFERROR(VLOOKUP(E44,'G2 K8'!$D$7:$T$54,17,0),IFERROR(VLOOKUP(E44,'G2 K9'!$D$7:$T$57,17,0),VLOOKUP(E44,'G2 K10'!$D$7:$T$53,17,0)))))</f>
        <v>0</v>
      </c>
      <c r="O44" s="201">
        <v>0</v>
      </c>
      <c r="P44" s="202">
        <f t="shared" si="6"/>
        <v>0</v>
      </c>
      <c r="R44" s="198" t="str">
        <f t="shared" si="2"/>
        <v>Sortierung A bis Z</v>
      </c>
    </row>
    <row r="45" spans="2:18" s="197" customFormat="1" ht="27.75" customHeight="1">
      <c r="B45" s="188">
        <f t="shared" si="3"/>
        <v>40</v>
      </c>
      <c r="C45" s="199">
        <f>IF(ISBLANK($E45),"",VLOOKUP($E45,Teilnehmer!$B$4:$K$63,2,0))</f>
        <v>2</v>
      </c>
      <c r="D45" s="199">
        <f>IF(ISBLANK($E45),"",VLOOKUP($E45,Teilnehmer!$B$4:$K$63,3,0))</f>
        <v>8</v>
      </c>
      <c r="E45" s="200">
        <v>43</v>
      </c>
      <c r="F45" s="181" t="str">
        <f>IF(ISBLANK($E45),"",VLOOKUP($E45,Teilnehmer!$B$4:$K$63,4,0))</f>
        <v>Schmitt Thomas</v>
      </c>
      <c r="G45" s="286">
        <f>IF(ISBLANK($E45),"",VLOOKUP($E45,Teilnehmer!$B$4:$K$63,5,0))</f>
        <v>15607</v>
      </c>
      <c r="H45" s="287" t="str">
        <f>IF(ISBLANK($E45),"",VLOOKUP($E45,Teilnehmer!$B$4:$K$63,6,0))</f>
        <v>-</v>
      </c>
      <c r="I45" s="181" t="str">
        <f>IF(ISBLANK($E45),"",VLOOKUP($E45,Teilnehmer!$B$4:$K$63,7,0))</f>
        <v>Sommer Petra</v>
      </c>
      <c r="J45" s="286">
        <f>IF(ISBLANK($E45),"",VLOOKUP($E45,Teilnehmer!$B$4:$K$63,8,0))</f>
        <v>15606</v>
      </c>
      <c r="K45" s="287" t="str">
        <f>IF(ISBLANK($E45),"",VLOOKUP($E45,Teilnehmer!$B$4:$K$63,9,0))</f>
        <v>-</v>
      </c>
      <c r="L45" s="315" t="str">
        <f>IF(ISBLANK($E45),"",VLOOKUP($E45,Teilnehmer!$B$4:$K$63,10,0))</f>
        <v>Toyota Corolla GT</v>
      </c>
      <c r="M45" s="316" t="str">
        <f>IF(ISBLANK($E45),"",IFERROR(VLOOKUP(E45,'G2 K7'!$D$7:$T$9,16,0),IFERROR(VLOOKUP(E45,'G2 K8'!$D$7:$T$54,16,0),IFERROR(VLOOKUP(E45,'G2 K9'!$D$7:$T$57,16,0),VLOOKUP(E45,'G2 K10'!$D$7:$T$53,16,0)))))</f>
        <v>ADW</v>
      </c>
      <c r="N45" s="245">
        <f>IF(ISBLANK($E45),"",IFERROR(VLOOKUP(E45,'G2 K7'!$D$7:$T$69,17,0),IFERROR(VLOOKUP(E45,'G2 K8'!$D$7:$T$54,17,0),IFERROR(VLOOKUP(E45,'G2 K9'!$D$7:$T$57,17,0),VLOOKUP(E45,'G2 K10'!$D$7:$T$53,17,0)))))</f>
        <v>0</v>
      </c>
      <c r="O45" s="201">
        <v>0</v>
      </c>
      <c r="P45" s="202">
        <f t="shared" si="6"/>
        <v>0</v>
      </c>
      <c r="R45" s="198" t="str">
        <f t="shared" si="2"/>
        <v>Sortierung A bis Z</v>
      </c>
    </row>
    <row r="46" spans="2:18" s="197" customFormat="1" ht="27.75" customHeight="1">
      <c r="B46" s="188">
        <f t="shared" si="3"/>
        <v>41</v>
      </c>
      <c r="C46" s="199">
        <f>IF(ISBLANK($E46),"",VLOOKUP($E46,Teilnehmer!$B$4:$K$63,2,0))</f>
        <v>2</v>
      </c>
      <c r="D46" s="199">
        <f>IF(ISBLANK($E46),"",VLOOKUP($E46,Teilnehmer!$B$4:$K$63,3,0))</f>
        <v>8</v>
      </c>
      <c r="E46" s="200">
        <v>49</v>
      </c>
      <c r="F46" s="181" t="str">
        <f>IF(ISBLANK($E46),"",VLOOKUP($E46,Teilnehmer!$B$4:$K$63,4,0))</f>
        <v>Berger Axel</v>
      </c>
      <c r="G46" s="286" t="str">
        <f>IF(ISBLANK($E46),"",VLOOKUP($E46,Teilnehmer!$B$4:$K$63,5,0))</f>
        <v>-</v>
      </c>
      <c r="H46" s="287" t="str">
        <f>IF(ISBLANK($E46),"",VLOOKUP($E46,Teilnehmer!$B$4:$K$63,6,0))</f>
        <v>-</v>
      </c>
      <c r="I46" s="181" t="str">
        <f>IF(ISBLANK($E46),"",VLOOKUP($E46,Teilnehmer!$B$4:$K$63,7,0))</f>
        <v>Berger Marc</v>
      </c>
      <c r="J46" s="286" t="str">
        <f>IF(ISBLANK($E46),"",VLOOKUP($E46,Teilnehmer!$B$4:$K$63,8,0))</f>
        <v>-</v>
      </c>
      <c r="K46" s="287" t="str">
        <f>IF(ISBLANK($E46),"",VLOOKUP($E46,Teilnehmer!$B$4:$K$63,9,0))</f>
        <v>-</v>
      </c>
      <c r="L46" s="315" t="str">
        <f>IF(ISBLANK($E46),"",VLOOKUP($E46,Teilnehmer!$B$4:$K$63,10,0))</f>
        <v>Opel Corsa A</v>
      </c>
      <c r="M46" s="316" t="str">
        <f>IF(ISBLANK($E46),"",IFERROR(VLOOKUP(E46,'G2 K7'!$D$7:$T$9,16,0),IFERROR(VLOOKUP(E46,'G2 K8'!$D$7:$T$54,16,0),IFERROR(VLOOKUP(E46,'G2 K9'!$D$7:$T$57,16,0),VLOOKUP(E46,'G2 K10'!$D$7:$T$53,16,0)))))</f>
        <v>ADW</v>
      </c>
      <c r="N46" s="245">
        <f>IF(ISBLANK($E46),"",IFERROR(VLOOKUP(E46,'G2 K7'!$D$7:$T$69,17,0),IFERROR(VLOOKUP(E46,'G2 K8'!$D$7:$T$54,17,0),IFERROR(VLOOKUP(E46,'G2 K9'!$D$7:$T$57,17,0),VLOOKUP(E46,'G2 K10'!$D$7:$T$53,17,0)))))</f>
        <v>0</v>
      </c>
      <c r="O46" s="201">
        <v>0</v>
      </c>
      <c r="P46" s="202">
        <f t="shared" si="6"/>
        <v>0</v>
      </c>
      <c r="R46" s="198" t="str">
        <f t="shared" si="2"/>
        <v>Sortierung A bis Z</v>
      </c>
    </row>
    <row r="47" spans="2:18" s="197" customFormat="1" ht="27.75" customHeight="1">
      <c r="B47" s="188">
        <f t="shared" si="3"/>
        <v>42</v>
      </c>
      <c r="C47" s="199">
        <f>IF(ISBLANK($E47),"",VLOOKUP($E47,Teilnehmer!$B$4:$K$63,2,0))</f>
        <v>2</v>
      </c>
      <c r="D47" s="199">
        <f>IF(ISBLANK($E47),"",VLOOKUP($E47,Teilnehmer!$B$4:$K$63,3,0))</f>
        <v>7</v>
      </c>
      <c r="E47" s="200">
        <v>53</v>
      </c>
      <c r="F47" s="181" t="str">
        <f>IF(ISBLANK($E47),"",VLOOKUP($E47,Teilnehmer!$B$4:$K$63,4,0))</f>
        <v>Sarkowski Alfred</v>
      </c>
      <c r="G47" s="286">
        <f>IF(ISBLANK($E47),"",VLOOKUP($E47,Teilnehmer!$B$4:$K$63,5,0))</f>
        <v>16011</v>
      </c>
      <c r="H47" s="287" t="str">
        <f>IF(ISBLANK($E47),"",VLOOKUP($E47,Teilnehmer!$B$4:$K$63,6,0))</f>
        <v>MSC Mamming</v>
      </c>
      <c r="I47" s="181" t="str">
        <f>IF(ISBLANK($E47),"",VLOOKUP($E47,Teilnehmer!$B$4:$K$63,7,0))</f>
        <v>Sollinger Christoph</v>
      </c>
      <c r="J47" s="286">
        <f>IF(ISBLANK($E47),"",VLOOKUP($E47,Teilnehmer!$B$4:$K$63,8,0))</f>
        <v>16631</v>
      </c>
      <c r="K47" s="287" t="str">
        <f>IF(ISBLANK($E47),"",VLOOKUP($E47,Teilnehmer!$B$4:$K$63,9,0))</f>
        <v>Selzer Team Mirskofen</v>
      </c>
      <c r="L47" s="315" t="str">
        <f>IF(ISBLANK($E47),"",VLOOKUP($E47,Teilnehmer!$B$4:$K$63,10,0))</f>
        <v>VW Polo 86 c</v>
      </c>
      <c r="M47" s="316" t="str">
        <f>IF(ISBLANK($E47),"",IFERROR(VLOOKUP(E47,'G2 K7'!$D$7:$T$9,16,0),IFERROR(VLOOKUP(E47,'G2 K8'!$D$7:$T$54,16,0),IFERROR(VLOOKUP(E47,'G2 K9'!$D$7:$T$57,16,0),VLOOKUP(E47,'G2 K10'!$D$7:$T$53,16,0)))))</f>
        <v>ADW</v>
      </c>
      <c r="N47" s="245">
        <f>IF(ISBLANK($E47),"",IFERROR(VLOOKUP(E47,'G2 K7'!$D$7:$T$69,17,0),IFERROR(VLOOKUP(E47,'G2 K8'!$D$7:$T$54,17,0),IFERROR(VLOOKUP(E47,'G2 K9'!$D$7:$T$57,17,0),VLOOKUP(E47,'G2 K10'!$D$7:$T$53,17,0)))))</f>
        <v>0</v>
      </c>
      <c r="O47" s="201">
        <v>0</v>
      </c>
      <c r="P47" s="202">
        <f t="shared" si="5"/>
        <v>0</v>
      </c>
      <c r="R47" s="198" t="str">
        <f t="shared" si="2"/>
        <v>Sortierung A bis Z</v>
      </c>
    </row>
  </sheetData>
  <autoFilter ref="C5:N5" xr:uid="{8B72BF87-2182-4247-BF47-3CAF0D88F477}">
    <sortState xmlns:xlrd2="http://schemas.microsoft.com/office/spreadsheetml/2017/richdata2" ref="C6:N47">
      <sortCondition ref="M5"/>
    </sortState>
  </autoFilter>
  <mergeCells count="1">
    <mergeCell ref="R2:R5"/>
  </mergeCells>
  <conditionalFormatting sqref="I6:I47 L6:L47">
    <cfRule type="cellIs" dxfId="23" priority="1" stopIfTrue="1" operator="equal">
      <formula>0</formula>
    </cfRule>
  </conditionalFormatting>
  <conditionalFormatting sqref="J4">
    <cfRule type="cellIs" dxfId="22" priority="4" operator="lessThan">
      <formula>0</formula>
    </cfRule>
    <cfRule type="cellIs" dxfId="21" priority="5" operator="greaterThan">
      <formula>0</formula>
    </cfRule>
  </conditionalFormatting>
  <conditionalFormatting sqref="R1:R2 R6:R1048576">
    <cfRule type="cellIs" dxfId="20" priority="3" operator="equal">
      <formula>"Sortierung A bis Z"</formula>
    </cfRule>
  </conditionalFormatting>
  <conditionalFormatting sqref="E6:E47">
    <cfRule type="duplicateValues" dxfId="19" priority="1432"/>
  </conditionalFormatting>
  <pageMargins left="0.70866141732283472" right="0.70866141732283472" top="0.78740157480314965" bottom="0.78740157480314965" header="0.31496062992125984" footer="0.31496062992125984"/>
  <pageSetup paperSize="9" scale="75" fitToHeight="2" orientation="landscape" r:id="rId1"/>
  <rowBreaks count="1" manualBreakCount="1">
    <brk id="19" min="1" max="15"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3FF43-1A3B-408D-A4D5-B421365AAABC}">
  <sheetPr codeName="Tabelle12">
    <tabColor theme="9"/>
    <pageSetUpPr fitToPage="1"/>
  </sheetPr>
  <dimension ref="B1:T35"/>
  <sheetViews>
    <sheetView showGridLines="0" zoomScaleNormal="100" zoomScaleSheetLayoutView="120" workbookViewId="0">
      <pane xSplit="6" ySplit="5" topLeftCell="G6" activePane="bottomRight" state="frozen"/>
      <selection pane="bottomRight" activeCell="B1" sqref="B1:P16"/>
      <selection pane="bottomLeft" activeCell="L26" sqref="L26:L30"/>
      <selection pane="topRight" activeCell="L26" sqref="L26:L30"/>
    </sheetView>
  </sheetViews>
  <sheetFormatPr defaultColWidth="11.42578125" defaultRowHeight="14.25"/>
  <cols>
    <col min="1" max="1" width="2" style="5" customWidth="1"/>
    <col min="2" max="2" width="3.7109375" style="3" customWidth="1"/>
    <col min="3" max="3" width="2.7109375" style="5" customWidth="1"/>
    <col min="4" max="4" width="3.28515625" style="5" bestFit="1" customWidth="1"/>
    <col min="5" max="5" width="4.28515625" style="5" customWidth="1"/>
    <col min="6" max="6" width="16.42578125" style="13" bestFit="1" customWidth="1"/>
    <col min="7" max="7" width="9.85546875" style="5" customWidth="1"/>
    <col min="8" max="8" width="11.7109375" style="5" customWidth="1"/>
    <col min="9" max="9" width="15.7109375" style="13" customWidth="1"/>
    <col min="10" max="10" width="9.140625" style="5" customWidth="1"/>
    <col min="11" max="11" width="11.7109375" style="5" customWidth="1"/>
    <col min="12" max="12" width="9.7109375" style="5" customWidth="1"/>
    <col min="13" max="13" width="20.5703125" style="5" bestFit="1" customWidth="1"/>
    <col min="14" max="15" width="10.7109375" style="69" customWidth="1"/>
    <col min="16" max="16" width="14.28515625" style="69" customWidth="1"/>
    <col min="17" max="17" width="1.140625" style="5" customWidth="1"/>
    <col min="18" max="18" width="13.5703125" style="148" bestFit="1" customWidth="1"/>
    <col min="19" max="16384" width="11.42578125" style="5"/>
  </cols>
  <sheetData>
    <row r="1" spans="2:20" s="7" customFormat="1" ht="20.25">
      <c r="B1" s="18" t="str">
        <f>Teilnehmer!B1</f>
        <v>20. Fürst von Wrede Rallye 2024</v>
      </c>
      <c r="C1" s="18"/>
      <c r="D1" s="18"/>
      <c r="E1" s="18"/>
      <c r="F1" s="18"/>
      <c r="G1" s="18"/>
      <c r="H1" s="18"/>
      <c r="I1" s="18"/>
      <c r="J1" s="18"/>
      <c r="K1" s="18"/>
      <c r="L1" s="18"/>
      <c r="M1" s="18"/>
      <c r="N1" s="68"/>
      <c r="O1" s="102"/>
      <c r="P1" s="68"/>
      <c r="R1" s="147"/>
      <c r="T1" s="101" t="s">
        <v>58</v>
      </c>
    </row>
    <row r="2" spans="2:20">
      <c r="O2" s="102"/>
      <c r="R2" s="343" t="s">
        <v>314</v>
      </c>
    </row>
    <row r="3" spans="2:20" ht="15.75">
      <c r="F3" s="8" t="s">
        <v>315</v>
      </c>
      <c r="H3" s="8" t="s">
        <v>329</v>
      </c>
      <c r="I3" s="9"/>
      <c r="J3" s="11">
        <f>COUNTA(E6:E16)</f>
        <v>11</v>
      </c>
      <c r="K3" s="8" t="s">
        <v>317</v>
      </c>
      <c r="R3" s="343"/>
    </row>
    <row r="4" spans="2:20" ht="15" thickBot="1">
      <c r="J4" s="15">
        <f>J3-Teilnehmer!N14</f>
        <v>0</v>
      </c>
      <c r="K4" s="15" t="s">
        <v>283</v>
      </c>
      <c r="R4" s="343"/>
    </row>
    <row r="5" spans="2:20" ht="29.25">
      <c r="B5" s="103" t="s">
        <v>318</v>
      </c>
      <c r="C5" s="104" t="s">
        <v>2</v>
      </c>
      <c r="D5" s="104" t="s">
        <v>3</v>
      </c>
      <c r="E5" s="105" t="s">
        <v>299</v>
      </c>
      <c r="F5" s="106" t="s">
        <v>4</v>
      </c>
      <c r="G5" s="107" t="s">
        <v>5</v>
      </c>
      <c r="H5" s="106" t="s">
        <v>6</v>
      </c>
      <c r="I5" s="106" t="s">
        <v>7</v>
      </c>
      <c r="J5" s="107" t="s">
        <v>5</v>
      </c>
      <c r="K5" s="106" t="s">
        <v>6</v>
      </c>
      <c r="L5" s="243" t="s">
        <v>8</v>
      </c>
      <c r="M5" s="246" t="s">
        <v>326</v>
      </c>
      <c r="N5" s="244" t="s">
        <v>330</v>
      </c>
      <c r="O5" s="108" t="s">
        <v>331</v>
      </c>
      <c r="P5" s="109" t="s">
        <v>332</v>
      </c>
      <c r="R5" s="343"/>
    </row>
    <row r="6" spans="2:20" s="197" customFormat="1" ht="27.75" customHeight="1">
      <c r="B6" s="188">
        <v>1</v>
      </c>
      <c r="C6" s="199">
        <f>IF(ISBLANK($E6),"",VLOOKUP($E6,Teilnehmer!$B$4:$K$199,2,0))</f>
        <v>3</v>
      </c>
      <c r="D6" s="199">
        <f>IF(ISBLANK($E6),"",VLOOKUP($E6,Teilnehmer!$B$4:$K$199,3,0))</f>
        <v>11</v>
      </c>
      <c r="E6" s="200">
        <v>1</v>
      </c>
      <c r="F6" s="181" t="str">
        <f>IF(ISBLANK($E6),"",VLOOKUP($E6,Teilnehmer!$B$4:$K$199,4,0))</f>
        <v>Brunken Wilfried</v>
      </c>
      <c r="G6" s="286">
        <f>IF(ISBLANK($E6),"",VLOOKUP($E6,Teilnehmer!$B$4:$K$199,5,0))</f>
        <v>15828</v>
      </c>
      <c r="H6" s="287" t="str">
        <f>IF(ISBLANK($E6),"",VLOOKUP($E6,Teilnehmer!$B$4:$K$199,6,0))</f>
        <v>MSC Ramberg</v>
      </c>
      <c r="I6" s="181" t="str">
        <f>IF(ISBLANK($E6),"",VLOOKUP($E6,Teilnehmer!$B$4:$K$199,7,0))</f>
        <v>Dietrich Manuela</v>
      </c>
      <c r="J6" s="286">
        <f>IF(ISBLANK($E6),"",VLOOKUP($E6,Teilnehmer!$B$4:$K$199,8,0))</f>
        <v>15827</v>
      </c>
      <c r="K6" s="287" t="str">
        <f>IF(ISBLANK($E6),"",VLOOKUP($E6,Teilnehmer!$B$4:$K$199,9,0))</f>
        <v>MSC Ramberg</v>
      </c>
      <c r="L6" s="315" t="str">
        <f>IF(ISBLANK($E6),"",VLOOKUP($E6,Teilnehmer!$B$4:$K$199,10,0))</f>
        <v>Mitsubishi EVO X</v>
      </c>
      <c r="M6" s="247">
        <f>IF(ISBLANK($E6),"",VLOOKUP(E6,'G3 K11'!$D$7:$T$199,16,0))</f>
        <v>1.788124999999996E-2</v>
      </c>
      <c r="N6" s="245">
        <f>IF(ISBLANK($E6),"",VLOOKUP(E6,'G3 K11'!$D$7:$T$199,17,0))</f>
        <v>23</v>
      </c>
      <c r="O6" s="201">
        <f t="shared" ref="O6:O11" si="0">IF(ISBLANK(E6),"",ROUND(10-10*(B6-1)/$J$3,2))</f>
        <v>10</v>
      </c>
      <c r="P6" s="202">
        <f t="shared" ref="P6:P11" si="1">IF(ISBLANK(E6),"",ROUND(N6+O6,2))</f>
        <v>33</v>
      </c>
      <c r="R6" s="198" t="str">
        <f>IF(ISBLANK($E6),"",IF(M7&gt;M6,"ok","Sortierung A bis Z"))</f>
        <v>ok</v>
      </c>
    </row>
    <row r="7" spans="2:20" s="197" customFormat="1" ht="27.75" customHeight="1">
      <c r="B7" s="188">
        <f>IF(ISBLANK(E7),"",B6+1)</f>
        <v>2</v>
      </c>
      <c r="C7" s="199">
        <f>IF(ISBLANK($E7),"",VLOOKUP($E7,Teilnehmer!$B$4:$K$199,2,0))</f>
        <v>3</v>
      </c>
      <c r="D7" s="199">
        <f>IF(ISBLANK($E7),"",VLOOKUP($E7,Teilnehmer!$B$4:$K$199,3,0))</f>
        <v>11</v>
      </c>
      <c r="E7" s="200">
        <v>2</v>
      </c>
      <c r="F7" s="181" t="str">
        <f>IF(ISBLANK($E7),"",VLOOKUP($E7,Teilnehmer!$B$4:$K$199,4,0))</f>
        <v>Schulze Stefan</v>
      </c>
      <c r="G7" s="286">
        <f>IF(ISBLANK($E7),"",VLOOKUP($E7,Teilnehmer!$B$4:$K$199,5,0))</f>
        <v>15615</v>
      </c>
      <c r="H7" s="287" t="str">
        <f>IF(ISBLANK($E7),"",VLOOKUP($E7,Teilnehmer!$B$4:$K$199,6,0))</f>
        <v>MSC Mamming</v>
      </c>
      <c r="I7" s="181" t="str">
        <f>IF(ISBLANK($E7),"",VLOOKUP($E7,Teilnehmer!$B$4:$K$199,7,0))</f>
        <v>Kuhn Lisa</v>
      </c>
      <c r="J7" s="286">
        <f>IF(ISBLANK($E7),"",VLOOKUP($E7,Teilnehmer!$B$4:$K$199,8,0))</f>
        <v>16075</v>
      </c>
      <c r="K7" s="287" t="str">
        <f>IF(ISBLANK($E7),"",VLOOKUP($E7,Teilnehmer!$B$4:$K$199,9,0))</f>
        <v>-</v>
      </c>
      <c r="L7" s="315" t="str">
        <f>IF(ISBLANK($E7),"",VLOOKUP($E7,Teilnehmer!$B$4:$K$199,10,0))</f>
        <v>Subaru Impreza</v>
      </c>
      <c r="M7" s="247">
        <f>IF(ISBLANK($E7),"",VLOOKUP(E7,'G3 K11'!$D$7:$T$199,16,0))</f>
        <v>1.8164120370370351E-2</v>
      </c>
      <c r="N7" s="245">
        <f>IF(ISBLANK($E7),"",VLOOKUP(E7,'G3 K11'!$D$7:$T$199,17,0))</f>
        <v>21.18</v>
      </c>
      <c r="O7" s="201">
        <f t="shared" si="0"/>
        <v>9.09</v>
      </c>
      <c r="P7" s="202">
        <f t="shared" si="1"/>
        <v>30.27</v>
      </c>
      <c r="R7" s="198" t="str">
        <f t="shared" ref="R7:R16" si="2">IF(ISBLANK($E7),"",IF(M8&gt;M7,"ok","Sortierung A bis Z"))</f>
        <v>ok</v>
      </c>
    </row>
    <row r="8" spans="2:20" s="197" customFormat="1" ht="27.75" customHeight="1">
      <c r="B8" s="188">
        <f t="shared" ref="B8:B16" si="3">IF(ISBLANK(E8),"",B7+1)</f>
        <v>3</v>
      </c>
      <c r="C8" s="199">
        <f>IF(ISBLANK($E8),"",VLOOKUP($E8,Teilnehmer!$B$4:$K$199,2,0))</f>
        <v>3</v>
      </c>
      <c r="D8" s="199">
        <f>IF(ISBLANK($E8),"",VLOOKUP($E8,Teilnehmer!$B$4:$K$199,3,0))</f>
        <v>11</v>
      </c>
      <c r="E8" s="200">
        <v>10</v>
      </c>
      <c r="F8" s="181" t="str">
        <f>IF(ISBLANK($E8),"",VLOOKUP($E8,Teilnehmer!$B$4:$K$199,4,0))</f>
        <v>Schweiger Andreas</v>
      </c>
      <c r="G8" s="286" t="str">
        <f>IF(ISBLANK($E8),"",VLOOKUP($E8,Teilnehmer!$B$4:$K$199,5,0))</f>
        <v>-</v>
      </c>
      <c r="H8" s="287" t="str">
        <f>IF(ISBLANK($E8),"",VLOOKUP($E8,Teilnehmer!$B$4:$K$199,6,0))</f>
        <v>MSC Emmersdorf</v>
      </c>
      <c r="I8" s="181" t="str">
        <f>IF(ISBLANK($E8),"",VLOOKUP($E8,Teilnehmer!$B$4:$K$199,7,0))</f>
        <v>Strobl Philip</v>
      </c>
      <c r="J8" s="286" t="str">
        <f>IF(ISBLANK($E8),"",VLOOKUP($E8,Teilnehmer!$B$4:$K$199,8,0))</f>
        <v>-</v>
      </c>
      <c r="K8" s="287" t="str">
        <f>IF(ISBLANK($E8),"",VLOOKUP($E8,Teilnehmer!$B$4:$K$199,9,0))</f>
        <v>SCC Grünthal</v>
      </c>
      <c r="L8" s="315" t="str">
        <f>IF(ISBLANK($E8),"",VLOOKUP($E8,Teilnehmer!$B$4:$K$199,10,0))</f>
        <v>Mitsubishi Lancer Evo 7</v>
      </c>
      <c r="M8" s="247">
        <f>IF(ISBLANK($E8),"",VLOOKUP(E8,'G3 K11'!$D$7:$T$199,16,0))</f>
        <v>1.8428125000000128E-2</v>
      </c>
      <c r="N8" s="245">
        <f>IF(ISBLANK($E8),"",VLOOKUP(E8,'G3 K11'!$D$7:$T$199,17,0))</f>
        <v>19.36</v>
      </c>
      <c r="O8" s="201">
        <f t="shared" si="0"/>
        <v>8.18</v>
      </c>
      <c r="P8" s="202">
        <f t="shared" si="1"/>
        <v>27.54</v>
      </c>
      <c r="R8" s="198" t="str">
        <f t="shared" si="2"/>
        <v>ok</v>
      </c>
    </row>
    <row r="9" spans="2:20" s="197" customFormat="1" ht="27.75" customHeight="1">
      <c r="B9" s="188">
        <f t="shared" si="3"/>
        <v>4</v>
      </c>
      <c r="C9" s="199">
        <f>IF(ISBLANK($E9),"",VLOOKUP($E9,Teilnehmer!$B$4:$K$199,2,0))</f>
        <v>3</v>
      </c>
      <c r="D9" s="199">
        <f>IF(ISBLANK($E9),"",VLOOKUP($E9,Teilnehmer!$B$4:$K$199,3,0))</f>
        <v>11</v>
      </c>
      <c r="E9" s="200">
        <v>7</v>
      </c>
      <c r="F9" s="181" t="str">
        <f>IF(ISBLANK($E9),"",VLOOKUP($E9,Teilnehmer!$B$4:$K$199,4,0))</f>
        <v>Kübler Ulrich</v>
      </c>
      <c r="G9" s="286" t="str">
        <f>IF(ISBLANK($E9),"",VLOOKUP($E9,Teilnehmer!$B$4:$K$199,5,0))</f>
        <v>-</v>
      </c>
      <c r="H9" s="287" t="str">
        <f>IF(ISBLANK($E9),"",VLOOKUP($E9,Teilnehmer!$B$4:$K$199,6,0))</f>
        <v>HMC Öhringen</v>
      </c>
      <c r="I9" s="181" t="str">
        <f>IF(ISBLANK($E9),"",VLOOKUP($E9,Teilnehmer!$B$4:$K$199,7,0))</f>
        <v>Kübler Rick</v>
      </c>
      <c r="J9" s="286" t="str">
        <f>IF(ISBLANK($E9),"",VLOOKUP($E9,Teilnehmer!$B$4:$K$199,8,0))</f>
        <v>-</v>
      </c>
      <c r="K9" s="287" t="str">
        <f>IF(ISBLANK($E9),"",VLOOKUP($E9,Teilnehmer!$B$4:$K$199,9,0))</f>
        <v>-</v>
      </c>
      <c r="L9" s="315" t="str">
        <f>IF(ISBLANK($E9),"",VLOOKUP($E9,Teilnehmer!$B$4:$K$199,10,0))</f>
        <v>Mitsubishi Lancer EVO 8</v>
      </c>
      <c r="M9" s="247">
        <f>IF(ISBLANK($E9),"",VLOOKUP(E9,'G3 K11'!$D$7:$T$199,16,0))</f>
        <v>1.8668634259259409E-2</v>
      </c>
      <c r="N9" s="245">
        <f>IF(ISBLANK($E9),"",VLOOKUP(E9,'G3 K11'!$D$7:$T$199,17,0))</f>
        <v>17.55</v>
      </c>
      <c r="O9" s="201">
        <f t="shared" si="0"/>
        <v>7.27</v>
      </c>
      <c r="P9" s="202">
        <f t="shared" si="1"/>
        <v>24.82</v>
      </c>
      <c r="R9" s="198" t="str">
        <f t="shared" si="2"/>
        <v>ok</v>
      </c>
    </row>
    <row r="10" spans="2:20" s="197" customFormat="1" ht="27.75" customHeight="1">
      <c r="B10" s="188">
        <f t="shared" si="3"/>
        <v>5</v>
      </c>
      <c r="C10" s="199">
        <f>IF(ISBLANK($E10),"",VLOOKUP($E10,Teilnehmer!$B$4:$K$199,2,0))</f>
        <v>3</v>
      </c>
      <c r="D10" s="199">
        <f>IF(ISBLANK($E10),"",VLOOKUP($E10,Teilnehmer!$B$4:$K$199,3,0))</f>
        <v>11</v>
      </c>
      <c r="E10" s="200">
        <v>3</v>
      </c>
      <c r="F10" s="181" t="str">
        <f>IF(ISBLANK($E10),"",VLOOKUP($E10,Teilnehmer!$B$4:$K$199,4,0))</f>
        <v>Köhler Stephan</v>
      </c>
      <c r="G10" s="286">
        <f>IF(ISBLANK($E10),"",VLOOKUP($E10,Teilnehmer!$B$4:$K$199,5,0))</f>
        <v>15208</v>
      </c>
      <c r="H10" s="287" t="str">
        <f>IF(ISBLANK($E10),"",VLOOKUP($E10,Teilnehmer!$B$4:$K$199,6,0))</f>
        <v>MSC Mamming</v>
      </c>
      <c r="I10" s="181" t="str">
        <f>IF(ISBLANK($E10),"",VLOOKUP($E10,Teilnehmer!$B$4:$K$199,7,0))</f>
        <v>Schachtner Michaela</v>
      </c>
      <c r="J10" s="286">
        <f>IF(ISBLANK($E10),"",VLOOKUP($E10,Teilnehmer!$B$4:$K$199,8,0))</f>
        <v>16147</v>
      </c>
      <c r="K10" s="287" t="str">
        <f>IF(ISBLANK($E10),"",VLOOKUP($E10,Teilnehmer!$B$4:$K$199,9,0))</f>
        <v>MSC Emmersdorf</v>
      </c>
      <c r="L10" s="315" t="str">
        <f>IF(ISBLANK($E10),"",VLOOKUP($E10,Teilnehmer!$B$4:$K$199,10,0))</f>
        <v>Mitsubishi EV6</v>
      </c>
      <c r="M10" s="247">
        <f>IF(ISBLANK($E10),"",VLOOKUP(E10,'G3 K11'!$D$7:$T$199,16,0))</f>
        <v>1.9214351851851996E-2</v>
      </c>
      <c r="N10" s="245">
        <f>IF(ISBLANK($E10),"",VLOOKUP(E10,'G3 K11'!$D$7:$T$199,17,0))</f>
        <v>15.73</v>
      </c>
      <c r="O10" s="201">
        <f t="shared" si="0"/>
        <v>6.36</v>
      </c>
      <c r="P10" s="202">
        <f t="shared" si="1"/>
        <v>22.09</v>
      </c>
      <c r="R10" s="198" t="str">
        <f t="shared" si="2"/>
        <v>ok</v>
      </c>
    </row>
    <row r="11" spans="2:20" s="197" customFormat="1" ht="27.75" customHeight="1">
      <c r="B11" s="188">
        <f t="shared" si="3"/>
        <v>6</v>
      </c>
      <c r="C11" s="199">
        <f>IF(ISBLANK($E11),"",VLOOKUP($E11,Teilnehmer!$B$4:$K$199,2,0))</f>
        <v>3</v>
      </c>
      <c r="D11" s="199">
        <f>IF(ISBLANK($E11),"",VLOOKUP($E11,Teilnehmer!$B$4:$K$199,3,0))</f>
        <v>11</v>
      </c>
      <c r="E11" s="200">
        <v>60</v>
      </c>
      <c r="F11" s="181" t="str">
        <f>IF(ISBLANK($E11),"",VLOOKUP($E11,Teilnehmer!$B$4:$K$199,4,0))</f>
        <v>Hillreiner Stefan</v>
      </c>
      <c r="G11" s="286" t="str">
        <f>IF(ISBLANK($E11),"",VLOOKUP($E11,Teilnehmer!$B$4:$K$199,5,0))</f>
        <v>-</v>
      </c>
      <c r="H11" s="287" t="str">
        <f>IF(ISBLANK($E11),"",VLOOKUP($E11,Teilnehmer!$B$4:$K$199,6,0))</f>
        <v>Scuderia Neuburg</v>
      </c>
      <c r="I11" s="181" t="str">
        <f>IF(ISBLANK($E11),"",VLOOKUP($E11,Teilnehmer!$B$4:$K$199,7,0))</f>
        <v>Alzheimer Dominik</v>
      </c>
      <c r="J11" s="286" t="str">
        <f>IF(ISBLANK($E11),"",VLOOKUP($E11,Teilnehmer!$B$4:$K$199,8,0))</f>
        <v>-</v>
      </c>
      <c r="K11" s="287" t="str">
        <f>IF(ISBLANK($E11),"",VLOOKUP($E11,Teilnehmer!$B$4:$K$199,9,0))</f>
        <v>-</v>
      </c>
      <c r="L11" s="315" t="str">
        <f>IF(ISBLANK($E11),"",VLOOKUP($E11,Teilnehmer!$B$4:$K$199,10,0))</f>
        <v>Audi TTRS</v>
      </c>
      <c r="M11" s="247">
        <f>IF(ISBLANK($E11),"",VLOOKUP(E11,'G3 K11'!$D$7:$T$199,16,0))</f>
        <v>1.9389004629629503E-2</v>
      </c>
      <c r="N11" s="245">
        <f>IF(ISBLANK($E11),"",VLOOKUP(E11,'G3 K11'!$D$7:$T$199,17,0))</f>
        <v>13.91</v>
      </c>
      <c r="O11" s="201">
        <f t="shared" si="0"/>
        <v>5.45</v>
      </c>
      <c r="P11" s="202">
        <f t="shared" si="1"/>
        <v>19.36</v>
      </c>
      <c r="R11" s="198" t="str">
        <f t="shared" si="2"/>
        <v>ok</v>
      </c>
    </row>
    <row r="12" spans="2:20" s="197" customFormat="1" ht="27.75" customHeight="1">
      <c r="B12" s="188">
        <f t="shared" si="3"/>
        <v>7</v>
      </c>
      <c r="C12" s="199">
        <f>IF(ISBLANK($E12),"",VLOOKUP($E12,Teilnehmer!$B$4:$K$199,2,0))</f>
        <v>3</v>
      </c>
      <c r="D12" s="199">
        <f>IF(ISBLANK($E12),"",VLOOKUP($E12,Teilnehmer!$B$4:$K$199,3,0))</f>
        <v>11</v>
      </c>
      <c r="E12" s="200">
        <v>6</v>
      </c>
      <c r="F12" s="181" t="str">
        <f>IF(ISBLANK($E12),"",VLOOKUP($E12,Teilnehmer!$B$4:$K$199,4,0))</f>
        <v>Honke Reinhard</v>
      </c>
      <c r="G12" s="286" t="str">
        <f>IF(ISBLANK($E12),"",VLOOKUP($E12,Teilnehmer!$B$4:$K$199,5,0))</f>
        <v>-</v>
      </c>
      <c r="H12" s="287" t="str">
        <f>IF(ISBLANK($E12),"",VLOOKUP($E12,Teilnehmer!$B$4:$K$199,6,0))</f>
        <v>AC Bayreuth</v>
      </c>
      <c r="I12" s="181" t="str">
        <f>IF(ISBLANK($E12),"",VLOOKUP($E12,Teilnehmer!$B$4:$K$199,7,0))</f>
        <v>Heinze Michael</v>
      </c>
      <c r="J12" s="286" t="str">
        <f>IF(ISBLANK($E12),"",VLOOKUP($E12,Teilnehmer!$B$4:$K$199,8,0))</f>
        <v>-</v>
      </c>
      <c r="K12" s="287" t="str">
        <f>IF(ISBLANK($E12),"",VLOOKUP($E12,Teilnehmer!$B$4:$K$199,9,0))</f>
        <v>MSC Fränkische Schweiz</v>
      </c>
      <c r="L12" s="315" t="str">
        <f>IF(ISBLANK($E12),"",VLOOKUP($E12,Teilnehmer!$B$4:$K$199,10,0))</f>
        <v>Mitsubishi Lancer Evo 10</v>
      </c>
      <c r="M12" s="247">
        <f>IF(ISBLANK($E12),"",VLOOKUP(E12,'G3 K11'!$D$7:$T$199,16,0))</f>
        <v>2.0084374999999932E-2</v>
      </c>
      <c r="N12" s="245">
        <f>IF(ISBLANK($E12),"",VLOOKUP(E12,'G3 K11'!$D$7:$T$199,17,0))</f>
        <v>12.09</v>
      </c>
      <c r="O12" s="201">
        <f t="shared" ref="O12:O15" si="4">IF(ISBLANK(E12),"",ROUND(10-10*(B12-1)/$J$3,2))</f>
        <v>4.55</v>
      </c>
      <c r="P12" s="202">
        <f t="shared" ref="P12:P15" si="5">IF(ISBLANK(E12),"",ROUND(N12+O12,2))</f>
        <v>16.64</v>
      </c>
      <c r="R12" s="198" t="str">
        <f t="shared" si="2"/>
        <v>ok</v>
      </c>
    </row>
    <row r="13" spans="2:20" s="197" customFormat="1" ht="27.75" customHeight="1">
      <c r="B13" s="188">
        <f t="shared" si="3"/>
        <v>8</v>
      </c>
      <c r="C13" s="199">
        <f>IF(ISBLANK($E13),"",VLOOKUP($E13,Teilnehmer!$B$4:$K$199,2,0))</f>
        <v>3</v>
      </c>
      <c r="D13" s="199">
        <f>IF(ISBLANK($E13),"",VLOOKUP($E13,Teilnehmer!$B$4:$K$199,3,0))</f>
        <v>11</v>
      </c>
      <c r="E13" s="200">
        <v>8</v>
      </c>
      <c r="F13" s="181" t="str">
        <f>IF(ISBLANK($E13),"",VLOOKUP($E13,Teilnehmer!$B$4:$K$199,4,0))</f>
        <v>Wallner Jakob</v>
      </c>
      <c r="G13" s="286" t="str">
        <f>IF(ISBLANK($E13),"",VLOOKUP($E13,Teilnehmer!$B$4:$K$199,5,0))</f>
        <v>-</v>
      </c>
      <c r="H13" s="287" t="str">
        <f>IF(ISBLANK($E13),"",VLOOKUP($E13,Teilnehmer!$B$4:$K$199,6,0))</f>
        <v>MSC Kitzbühel</v>
      </c>
      <c r="I13" s="181" t="str">
        <f>IF(ISBLANK($E13),"",VLOOKUP($E13,Teilnehmer!$B$4:$K$199,7,0))</f>
        <v>Pail Julia</v>
      </c>
      <c r="J13" s="286" t="str">
        <f>IF(ISBLANK($E13),"",VLOOKUP($E13,Teilnehmer!$B$4:$K$199,8,0))</f>
        <v>-</v>
      </c>
      <c r="K13" s="287" t="str">
        <f>IF(ISBLANK($E13),"",VLOOKUP($E13,Teilnehmer!$B$4:$K$199,9,0))</f>
        <v>MSC Kitzbühel</v>
      </c>
      <c r="L13" s="315" t="str">
        <f>IF(ISBLANK($E13),"",VLOOKUP($E13,Teilnehmer!$B$4:$K$199,10,0))</f>
        <v>Lancia Delta integrale 16v</v>
      </c>
      <c r="M13" s="316" t="str">
        <f>IF(ISBLANK($E13),"",VLOOKUP(E13,'G3 K11'!$D$7:$T$199,16,0))</f>
        <v>ADW</v>
      </c>
      <c r="N13" s="245">
        <f>IF(ISBLANK($E13),"",VLOOKUP(E13,'G3 K11'!$D$7:$T$199,17,0))</f>
        <v>0</v>
      </c>
      <c r="O13" s="201">
        <v>0</v>
      </c>
      <c r="P13" s="202">
        <f t="shared" si="5"/>
        <v>0</v>
      </c>
      <c r="R13" s="198" t="str">
        <f t="shared" si="2"/>
        <v>Sortierung A bis Z</v>
      </c>
    </row>
    <row r="14" spans="2:20" s="197" customFormat="1" ht="27.75" customHeight="1">
      <c r="B14" s="188">
        <f t="shared" si="3"/>
        <v>9</v>
      </c>
      <c r="C14" s="199">
        <f>IF(ISBLANK($E14),"",VLOOKUP($E14,Teilnehmer!$B$4:$K$199,2,0))</f>
        <v>3</v>
      </c>
      <c r="D14" s="199">
        <f>IF(ISBLANK($E14),"",VLOOKUP($E14,Teilnehmer!$B$4:$K$199,3,0))</f>
        <v>11</v>
      </c>
      <c r="E14" s="200">
        <v>4</v>
      </c>
      <c r="F14" s="181" t="str">
        <f>IF(ISBLANK($E14),"",VLOOKUP($E14,Teilnehmer!$B$4:$K$199,4,0))</f>
        <v>Rader Manfred</v>
      </c>
      <c r="G14" s="286">
        <f>IF(ISBLANK($E14),"",VLOOKUP($E14,Teilnehmer!$B$4:$K$199,5,0))</f>
        <v>15053</v>
      </c>
      <c r="H14" s="287" t="str">
        <f>IF(ISBLANK($E14),"",VLOOKUP($E14,Teilnehmer!$B$4:$K$199,6,0))</f>
        <v>-</v>
      </c>
      <c r="I14" s="181" t="str">
        <f>IF(ISBLANK($E14),"",VLOOKUP($E14,Teilnehmer!$B$4:$K$199,7,0))</f>
        <v>Hierbeck Andreas</v>
      </c>
      <c r="J14" s="286" t="str">
        <f>IF(ISBLANK($E14),"",VLOOKUP($E14,Teilnehmer!$B$4:$K$199,8,0))</f>
        <v>-</v>
      </c>
      <c r="K14" s="287" t="str">
        <f>IF(ISBLANK($E14),"",VLOOKUP($E14,Teilnehmer!$B$4:$K$199,9,0))</f>
        <v>-</v>
      </c>
      <c r="L14" s="315" t="str">
        <f>IF(ISBLANK($E14),"",VLOOKUP($E14,Teilnehmer!$B$4:$K$199,10,0))</f>
        <v>Audi 80 Quattro</v>
      </c>
      <c r="M14" s="316" t="str">
        <f>IF(ISBLANK($E14),"",VLOOKUP(E14,'G3 K11'!$D$7:$T$199,16,0))</f>
        <v>ADW</v>
      </c>
      <c r="N14" s="245">
        <f>IF(ISBLANK($E14),"",VLOOKUP(E14,'G3 K11'!$D$7:$T$199,17,0))</f>
        <v>0</v>
      </c>
      <c r="O14" s="201">
        <v>0</v>
      </c>
      <c r="P14" s="202">
        <f t="shared" si="5"/>
        <v>0</v>
      </c>
      <c r="R14" s="198" t="str">
        <f t="shared" si="2"/>
        <v>Sortierung A bis Z</v>
      </c>
    </row>
    <row r="15" spans="2:20" s="197" customFormat="1" ht="27.75" customHeight="1">
      <c r="B15" s="188">
        <f t="shared" si="3"/>
        <v>10</v>
      </c>
      <c r="C15" s="199">
        <f>IF(ISBLANK($E15),"",VLOOKUP($E15,Teilnehmer!$B$4:$K$199,2,0))</f>
        <v>3</v>
      </c>
      <c r="D15" s="199">
        <f>IF(ISBLANK($E15),"",VLOOKUP($E15,Teilnehmer!$B$4:$K$199,3,0))</f>
        <v>11</v>
      </c>
      <c r="E15" s="200">
        <v>5</v>
      </c>
      <c r="F15" s="181" t="str">
        <f>IF(ISBLANK($E15),"",VLOOKUP($E15,Teilnehmer!$B$4:$K$199,4,0))</f>
        <v>Paul Gerhard</v>
      </c>
      <c r="G15" s="286">
        <f>IF(ISBLANK($E15),"",VLOOKUP($E15,Teilnehmer!$B$4:$K$199,5,0))</f>
        <v>16128</v>
      </c>
      <c r="H15" s="287" t="str">
        <f>IF(ISBLANK($E15),"",VLOOKUP($E15,Teilnehmer!$B$4:$K$199,6,0))</f>
        <v>AC Gunzenhausen</v>
      </c>
      <c r="I15" s="181" t="str">
        <f>IF(ISBLANK($E15),"",VLOOKUP($E15,Teilnehmer!$B$4:$K$199,7,0))</f>
        <v>Paul Jana</v>
      </c>
      <c r="J15" s="286">
        <f>IF(ISBLANK($E15),"",VLOOKUP($E15,Teilnehmer!$B$4:$K$199,8,0))</f>
        <v>16127</v>
      </c>
      <c r="K15" s="287" t="str">
        <f>IF(ISBLANK($E15),"",VLOOKUP($E15,Teilnehmer!$B$4:$K$199,9,0))</f>
        <v>AC Gunzenhausen</v>
      </c>
      <c r="L15" s="315" t="str">
        <f>IF(ISBLANK($E15),"",VLOOKUP($E15,Teilnehmer!$B$4:$K$199,10,0))</f>
        <v>BMW E30ix</v>
      </c>
      <c r="M15" s="316" t="str">
        <f>IF(ISBLANK($E15),"",VLOOKUP(E15,'G3 K11'!$D$7:$T$199,16,0))</f>
        <v>ADW</v>
      </c>
      <c r="N15" s="245">
        <f>IF(ISBLANK($E15),"",VLOOKUP(E15,'G3 K11'!$D$7:$T$199,17,0))</f>
        <v>0</v>
      </c>
      <c r="O15" s="201">
        <v>0</v>
      </c>
      <c r="P15" s="202">
        <f t="shared" si="5"/>
        <v>0</v>
      </c>
      <c r="R15" s="198" t="str">
        <f t="shared" si="2"/>
        <v>Sortierung A bis Z</v>
      </c>
    </row>
    <row r="16" spans="2:20" s="197" customFormat="1" ht="27.75" customHeight="1">
      <c r="B16" s="188">
        <f t="shared" si="3"/>
        <v>11</v>
      </c>
      <c r="C16" s="199">
        <f>IF(ISBLANK($E16),"",VLOOKUP($E16,Teilnehmer!$B$4:$K$199,2,0))</f>
        <v>3</v>
      </c>
      <c r="D16" s="199">
        <f>IF(ISBLANK($E16),"",VLOOKUP($E16,Teilnehmer!$B$4:$K$199,3,0))</f>
        <v>11</v>
      </c>
      <c r="E16" s="200">
        <v>9</v>
      </c>
      <c r="F16" s="181" t="str">
        <f>IF(ISBLANK($E16),"",VLOOKUP($E16,Teilnehmer!$B$4:$K$199,4,0))</f>
        <v>Stütz Ralf</v>
      </c>
      <c r="G16" s="286" t="str">
        <f>IF(ISBLANK($E16),"",VLOOKUP($E16,Teilnehmer!$B$4:$K$199,5,0))</f>
        <v>-</v>
      </c>
      <c r="H16" s="287" t="str">
        <f>IF(ISBLANK($E16),"",VLOOKUP($E16,Teilnehmer!$B$4:$K$199,6,0))</f>
        <v>-</v>
      </c>
      <c r="I16" s="181" t="str">
        <f>IF(ISBLANK($E16),"",VLOOKUP($E16,Teilnehmer!$B$4:$K$199,7,0))</f>
        <v>Hertfelder Albert</v>
      </c>
      <c r="J16" s="286" t="str">
        <f>IF(ISBLANK($E16),"",VLOOKUP($E16,Teilnehmer!$B$4:$K$199,8,0))</f>
        <v>-</v>
      </c>
      <c r="K16" s="287" t="str">
        <f>IF(ISBLANK($E16),"",VLOOKUP($E16,Teilnehmer!$B$4:$K$199,9,0))</f>
        <v>-</v>
      </c>
      <c r="L16" s="315" t="str">
        <f>IF(ISBLANK($E16),"",VLOOKUP($E16,Teilnehmer!$B$4:$K$199,10,0))</f>
        <v>Mitsubishi Lancer EVO</v>
      </c>
      <c r="M16" s="316" t="str">
        <f>IF(ISBLANK($E16),"",VLOOKUP(E16,'G3 K11'!$D$7:$T$199,16,0))</f>
        <v>ADW</v>
      </c>
      <c r="N16" s="245">
        <f>IF(ISBLANK($E16),"",VLOOKUP(E16,'G3 K11'!$D$7:$T$199,17,0))</f>
        <v>0</v>
      </c>
      <c r="O16" s="201">
        <v>0</v>
      </c>
      <c r="P16" s="202">
        <f t="shared" ref="P16" si="6">IF(ISBLANK(E16),"",ROUND(N16+O16,2))</f>
        <v>0</v>
      </c>
      <c r="R16" s="198" t="str">
        <f t="shared" si="2"/>
        <v>Sortierung A bis Z</v>
      </c>
    </row>
    <row r="17" spans="3:18">
      <c r="C17" s="3"/>
      <c r="D17" s="3"/>
      <c r="R17" s="149"/>
    </row>
    <row r="18" spans="3:18">
      <c r="C18" s="3"/>
      <c r="D18" s="3"/>
      <c r="R18" s="149"/>
    </row>
    <row r="19" spans="3:18">
      <c r="C19" s="3"/>
      <c r="D19" s="3"/>
      <c r="R19" s="149"/>
    </row>
    <row r="20" spans="3:18">
      <c r="C20" s="3"/>
      <c r="D20" s="3"/>
      <c r="R20" s="149"/>
    </row>
    <row r="21" spans="3:18">
      <c r="C21" s="3"/>
      <c r="D21" s="3"/>
      <c r="R21" s="149"/>
    </row>
    <row r="22" spans="3:18">
      <c r="C22" s="3"/>
      <c r="D22" s="3"/>
      <c r="R22" s="149"/>
    </row>
    <row r="23" spans="3:18">
      <c r="C23" s="3"/>
      <c r="D23" s="3"/>
    </row>
    <row r="24" spans="3:18">
      <c r="C24" s="3"/>
      <c r="D24" s="3"/>
    </row>
    <row r="25" spans="3:18">
      <c r="C25" s="3"/>
      <c r="D25" s="3"/>
    </row>
    <row r="26" spans="3:18">
      <c r="C26" s="3"/>
      <c r="D26" s="3"/>
    </row>
    <row r="27" spans="3:18">
      <c r="C27" s="3"/>
      <c r="D27" s="3"/>
    </row>
    <row r="28" spans="3:18">
      <c r="C28" s="3"/>
      <c r="D28" s="3"/>
    </row>
    <row r="29" spans="3:18">
      <c r="C29" s="3"/>
      <c r="D29" s="3"/>
    </row>
    <row r="30" spans="3:18">
      <c r="C30" s="3"/>
      <c r="D30" s="3"/>
    </row>
    <row r="31" spans="3:18">
      <c r="C31" s="3"/>
      <c r="D31" s="3"/>
    </row>
    <row r="32" spans="3:18">
      <c r="C32" s="3"/>
      <c r="D32" s="3"/>
    </row>
    <row r="33" spans="3:4">
      <c r="C33" s="13"/>
      <c r="D33" s="13"/>
    </row>
    <row r="34" spans="3:4">
      <c r="C34" s="13"/>
      <c r="D34" s="13"/>
    </row>
    <row r="35" spans="3:4">
      <c r="C35" s="13"/>
      <c r="D35" s="13"/>
    </row>
  </sheetData>
  <autoFilter ref="C5:N5" xr:uid="{218B89C6-428C-4760-BCEE-FF3931E525F4}">
    <sortState xmlns:xlrd2="http://schemas.microsoft.com/office/spreadsheetml/2017/richdata2" ref="C6:N16">
      <sortCondition ref="M5"/>
    </sortState>
  </autoFilter>
  <mergeCells count="1">
    <mergeCell ref="R2:R5"/>
  </mergeCells>
  <conditionalFormatting sqref="I6:I16 L6:L16">
    <cfRule type="cellIs" dxfId="18" priority="2" stopIfTrue="1" operator="equal">
      <formula>0</formula>
    </cfRule>
  </conditionalFormatting>
  <conditionalFormatting sqref="J4">
    <cfRule type="cellIs" dxfId="17" priority="7" operator="lessThan">
      <formula>0</formula>
    </cfRule>
    <cfRule type="cellIs" dxfId="16" priority="8" operator="greaterThan">
      <formula>0</formula>
    </cfRule>
  </conditionalFormatting>
  <conditionalFormatting sqref="R1:R2 R6:R1048576">
    <cfRule type="cellIs" dxfId="15" priority="4" operator="equal">
      <formula>"Sortierung A bis Z"</formula>
    </cfRule>
  </conditionalFormatting>
  <conditionalFormatting sqref="E6:E16">
    <cfRule type="duplicateValues" dxfId="14" priority="1421"/>
  </conditionalFormatting>
  <pageMargins left="0.70866141732283472" right="0.70866141732283472" top="0.78740157480314965" bottom="0.78740157480314965" header="0.31496062992125984" footer="0.31496062992125984"/>
  <pageSetup paperSize="9" scale="84"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4BA6-A6FC-446F-B3EA-9418E325E081}">
  <sheetPr codeName="Tabelle14">
    <tabColor theme="4" tint="0.39997558519241921"/>
    <pageSetUpPr fitToPage="1"/>
  </sheetPr>
  <dimension ref="B1:U83"/>
  <sheetViews>
    <sheetView showGridLines="0" tabSelected="1" zoomScaleNormal="100" zoomScaleSheetLayoutView="115" workbookViewId="0">
      <pane xSplit="6" ySplit="5" topLeftCell="G51" activePane="bottomRight" state="frozen"/>
      <selection pane="bottomRight" activeCell="B1" sqref="B1:M75"/>
      <selection pane="bottomLeft" activeCell="L26" sqref="L26:L30"/>
      <selection pane="topRight" activeCell="L26" sqref="L26:L30"/>
    </sheetView>
  </sheetViews>
  <sheetFormatPr defaultColWidth="11.42578125" defaultRowHeight="14.25"/>
  <cols>
    <col min="1" max="1" width="1.7109375" style="5" customWidth="1"/>
    <col min="2" max="3" width="3.7109375" style="3" customWidth="1"/>
    <col min="4" max="4" width="3.28515625" style="6" customWidth="1"/>
    <col min="5" max="5" width="4.28515625" style="5" customWidth="1"/>
    <col min="6" max="6" width="16.42578125" style="13" bestFit="1" customWidth="1"/>
    <col min="7" max="7" width="6.7109375" style="5" customWidth="1"/>
    <col min="8" max="8" width="11.7109375" style="5" customWidth="1"/>
    <col min="9" max="9" width="15.7109375" style="13" customWidth="1"/>
    <col min="10" max="10" width="6.7109375" style="5" customWidth="1"/>
    <col min="11" max="11" width="11.7109375" style="5" customWidth="1"/>
    <col min="12" max="12" width="13.7109375" style="5" customWidth="1"/>
    <col min="13" max="13" width="10.7109375" style="5" customWidth="1"/>
    <col min="14" max="14" width="2" style="5" customWidth="1"/>
    <col min="15" max="16" width="11.42578125" style="142"/>
    <col min="17" max="17" width="14.7109375" style="142" customWidth="1"/>
    <col min="18" max="18" width="1.42578125" style="5" customWidth="1"/>
    <col min="19" max="19" width="13.5703125" style="148" bestFit="1" customWidth="1"/>
    <col min="20" max="16384" width="11.42578125" style="5"/>
  </cols>
  <sheetData>
    <row r="1" spans="2:21" s="7" customFormat="1" ht="20.25">
      <c r="B1" s="344" t="str">
        <f>Teilnehmer!B1</f>
        <v>20. Fürst von Wrede Rallye 2024</v>
      </c>
      <c r="C1" s="344"/>
      <c r="D1" s="344"/>
      <c r="E1" s="344"/>
      <c r="F1" s="344"/>
      <c r="G1" s="344"/>
      <c r="H1" s="344"/>
      <c r="I1" s="344"/>
      <c r="J1" s="344"/>
      <c r="K1" s="344"/>
      <c r="L1" s="344"/>
      <c r="M1" s="344"/>
      <c r="N1" s="37"/>
      <c r="O1" s="140"/>
      <c r="P1" s="141"/>
      <c r="Q1" s="140"/>
      <c r="S1" s="147"/>
      <c r="U1" s="101" t="s">
        <v>58</v>
      </c>
    </row>
    <row r="2" spans="2:21" ht="20.25">
      <c r="N2" s="37"/>
      <c r="P2" s="141"/>
      <c r="S2" s="343" t="s">
        <v>314</v>
      </c>
    </row>
    <row r="3" spans="2:21" ht="20.25">
      <c r="F3" s="8" t="s">
        <v>315</v>
      </c>
      <c r="H3" s="8" t="s">
        <v>333</v>
      </c>
      <c r="I3" s="9"/>
      <c r="J3" s="11">
        <f>COUNTA(E6:E83)</f>
        <v>70</v>
      </c>
      <c r="K3" s="8" t="s">
        <v>317</v>
      </c>
      <c r="N3" s="37"/>
      <c r="S3" s="343"/>
    </row>
    <row r="4" spans="2:21" ht="21" thickBot="1">
      <c r="J4" s="15">
        <f>J3-Teilnehmer!P15</f>
        <v>0</v>
      </c>
      <c r="K4" s="15" t="s">
        <v>283</v>
      </c>
      <c r="N4" s="37"/>
      <c r="O4" s="345" t="s">
        <v>334</v>
      </c>
      <c r="P4" s="345"/>
      <c r="Q4" s="345"/>
      <c r="S4" s="343"/>
    </row>
    <row r="5" spans="2:21" ht="29.25">
      <c r="B5" s="110" t="s">
        <v>318</v>
      </c>
      <c r="C5" s="111" t="s">
        <v>2</v>
      </c>
      <c r="D5" s="111" t="s">
        <v>3</v>
      </c>
      <c r="E5" s="112" t="s">
        <v>299</v>
      </c>
      <c r="F5" s="113" t="s">
        <v>4</v>
      </c>
      <c r="G5" s="114" t="s">
        <v>5</v>
      </c>
      <c r="H5" s="113" t="s">
        <v>6</v>
      </c>
      <c r="I5" s="113" t="s">
        <v>7</v>
      </c>
      <c r="J5" s="114" t="s">
        <v>5</v>
      </c>
      <c r="K5" s="113" t="s">
        <v>6</v>
      </c>
      <c r="L5" s="248" t="s">
        <v>8</v>
      </c>
      <c r="M5" s="249" t="s">
        <v>335</v>
      </c>
      <c r="N5" s="37"/>
      <c r="O5" s="144" t="s">
        <v>330</v>
      </c>
      <c r="P5" s="145" t="s">
        <v>331</v>
      </c>
      <c r="Q5" s="146" t="s">
        <v>332</v>
      </c>
      <c r="S5" s="343"/>
    </row>
    <row r="6" spans="2:21" s="197" customFormat="1" ht="27.75" customHeight="1">
      <c r="B6" s="188">
        <v>1</v>
      </c>
      <c r="C6" s="189">
        <f>IF(ISBLANK($E6),"",VLOOKUP($E6,Teilnehmer!$B$4:$K$199,2,0))</f>
        <v>3</v>
      </c>
      <c r="D6" s="190">
        <f>IF(ISBLANK($E6),"",VLOOKUP($E6,Teilnehmer!$B$4:$K$199,3,0))</f>
        <v>11</v>
      </c>
      <c r="E6" s="191">
        <v>1</v>
      </c>
      <c r="F6" s="181" t="str">
        <f>IF(ISBLANK($E6),"",VLOOKUP($E6,Teilnehmer!$B$4:$K$199,4,0))</f>
        <v>Brunken Wilfried</v>
      </c>
      <c r="G6" s="286">
        <f>IF(ISBLANK($E6),"",VLOOKUP($E6,Teilnehmer!$B$4:$K$199,5,0))</f>
        <v>15828</v>
      </c>
      <c r="H6" s="287" t="str">
        <f>IF(ISBLANK($E6),"",VLOOKUP($E6,Teilnehmer!$B$4:$K$199,6,0))</f>
        <v>MSC Ramberg</v>
      </c>
      <c r="I6" s="181" t="str">
        <f>IF(ISBLANK($E6),"",VLOOKUP($E6,Teilnehmer!$B$4:$K$199,7,0))</f>
        <v>Dietrich Manuela</v>
      </c>
      <c r="J6" s="286">
        <f>IF(ISBLANK($E6),"",VLOOKUP($E6,Teilnehmer!$B$4:$K$199,8,0))</f>
        <v>15827</v>
      </c>
      <c r="K6" s="287" t="str">
        <f>IF(ISBLANK($E6),"",VLOOKUP($E6,Teilnehmer!$B$4:$K$199,9,0))</f>
        <v>MSC Ramberg</v>
      </c>
      <c r="L6" s="315" t="str">
        <f>IF(ISBLANK($E6),"",VLOOKUP($E6,Teilnehmer!$B$4:$K$199,10,0))</f>
        <v>Mitsubishi EVO X</v>
      </c>
      <c r="M6" s="317">
        <f>IF(ISBLANK($E6),"",IFERROR(VLOOKUP(E6,'G1'!$E$6:$P$203,9,0),IFERROR(VLOOKUP(E6,'G2'!$E$6:$P$208,9,0),VLOOKUP(E6,'G3'!$E$6:$P$199,9,0))))</f>
        <v>1.788124999999996E-2</v>
      </c>
      <c r="N6" s="193"/>
      <c r="O6" s="194">
        <f>IF(ISBLANK($E6),"",IFERROR(VLOOKUP(E6,'G1'!$E$6:$P$203,10,0),IFERROR(VLOOKUP(E6,'G2'!$E$6:$P$208,10,0),VLOOKUP(E6,'G3'!$E$6:$P$199,10,0))))</f>
        <v>23</v>
      </c>
      <c r="P6" s="195">
        <f>IF(ISBLANK($E6),"",IFERROR(VLOOKUP(E6,'G1'!$E$6:$P$203,11,0),IFERROR(VLOOKUP(E6,'G2'!$E$6:$P$208,11,0),VLOOKUP(E6,'G3'!$E$6:$P$199,11,0))))</f>
        <v>10</v>
      </c>
      <c r="Q6" s="196">
        <f>IF(ISBLANK($E6),"",IFERROR(VLOOKUP(E6,'G1'!$E$6:$P$203,12,0),IFERROR(VLOOKUP(E6,'G2'!$E$6:$P$208,12,0),VLOOKUP(E6,'G3'!$E$6:$P$199,12,0))))</f>
        <v>33</v>
      </c>
      <c r="S6" s="198" t="str">
        <f>IF(ISBLANK($E6),"",IF(M7&gt;M6,"ok","Sortierung A bis Z"))</f>
        <v>ok</v>
      </c>
    </row>
    <row r="7" spans="2:21" s="197" customFormat="1" ht="27.75" customHeight="1">
      <c r="B7" s="188">
        <f>IF(ISBLANK(E7),"",B6+1)</f>
        <v>2</v>
      </c>
      <c r="C7" s="189">
        <f>IF(ISBLANK($E7),"",VLOOKUP($E7,Teilnehmer!$B$4:$K$199,2,0))</f>
        <v>3</v>
      </c>
      <c r="D7" s="190">
        <f>IF(ISBLANK($E7),"",VLOOKUP($E7,Teilnehmer!$B$4:$K$199,3,0))</f>
        <v>11</v>
      </c>
      <c r="E7" s="191">
        <v>2</v>
      </c>
      <c r="F7" s="181" t="str">
        <f>IF(ISBLANK($E7),"",VLOOKUP($E7,Teilnehmer!$B$4:$K$199,4,0))</f>
        <v>Schulze Stefan</v>
      </c>
      <c r="G7" s="286">
        <f>IF(ISBLANK($E7),"",VLOOKUP($E7,Teilnehmer!$B$4:$K$199,5,0))</f>
        <v>15615</v>
      </c>
      <c r="H7" s="287" t="str">
        <f>IF(ISBLANK($E7),"",VLOOKUP($E7,Teilnehmer!$B$4:$K$199,6,0))</f>
        <v>MSC Mamming</v>
      </c>
      <c r="I7" s="181" t="str">
        <f>IF(ISBLANK($E7),"",VLOOKUP($E7,Teilnehmer!$B$4:$K$199,7,0))</f>
        <v>Kuhn Lisa</v>
      </c>
      <c r="J7" s="286">
        <f>IF(ISBLANK($E7),"",VLOOKUP($E7,Teilnehmer!$B$4:$K$199,8,0))</f>
        <v>16075</v>
      </c>
      <c r="K7" s="287" t="str">
        <f>IF(ISBLANK($E7),"",VLOOKUP($E7,Teilnehmer!$B$4:$K$199,9,0))</f>
        <v>-</v>
      </c>
      <c r="L7" s="315" t="str">
        <f>IF(ISBLANK($E7),"",VLOOKUP($E7,Teilnehmer!$B$4:$K$199,10,0))</f>
        <v>Subaru Impreza</v>
      </c>
      <c r="M7" s="317">
        <f>IF(ISBLANK($E7),"",IFERROR(VLOOKUP(E7,'G1'!$E$6:$P$203,9,0),IFERROR(VLOOKUP(E7,'G2'!$E$6:$P$208,9,0),VLOOKUP(E7,'G3'!$E$6:$P$199,9,0))))</f>
        <v>1.8164120370370351E-2</v>
      </c>
      <c r="N7" s="193"/>
      <c r="O7" s="194">
        <f>IF(ISBLANK($E7),"",IFERROR(VLOOKUP(E7,'G1'!$E$6:$P$203,10,0),IFERROR(VLOOKUP(E7,'G2'!$E$6:$P$208,10,0),VLOOKUP(E7,'G3'!$E$6:$P$199,10,0))))</f>
        <v>21.18</v>
      </c>
      <c r="P7" s="195">
        <f>IF(ISBLANK($E7),"",IFERROR(VLOOKUP(E7,'G1'!$E$6:$P$203,11,0),IFERROR(VLOOKUP(E7,'G2'!$E$6:$P$208,11,0),VLOOKUP(E7,'G3'!$E$6:$P$199,11,0))))</f>
        <v>9.09</v>
      </c>
      <c r="Q7" s="196">
        <f>IF(ISBLANK($E7),"",IFERROR(VLOOKUP(E7,'G1'!$E$6:$P$203,12,0),IFERROR(VLOOKUP(E7,'G2'!$E$6:$P$208,12,0),VLOOKUP(E7,'G3'!$E$6:$P$199,12,0))))</f>
        <v>30.27</v>
      </c>
      <c r="S7" s="198" t="str">
        <f t="shared" ref="S7:S70" si="0">IF(ISBLANK($E7),"",IF(M8&gt;M7,"ok","Sortierung A bis Z"))</f>
        <v>ok</v>
      </c>
    </row>
    <row r="8" spans="2:21" s="197" customFormat="1" ht="27.75" customHeight="1">
      <c r="B8" s="188">
        <f t="shared" ref="B8:B71" si="1">IF(ISBLANK(E8),"",B7+1)</f>
        <v>3</v>
      </c>
      <c r="C8" s="189">
        <f>IF(ISBLANK($E8),"",VLOOKUP($E8,Teilnehmer!$B$4:$K$199,2,0))</f>
        <v>2</v>
      </c>
      <c r="D8" s="190">
        <f>IF(ISBLANK($E8),"",VLOOKUP($E8,Teilnehmer!$B$4:$K$199,3,0))</f>
        <v>10</v>
      </c>
      <c r="E8" s="191">
        <v>12</v>
      </c>
      <c r="F8" s="181" t="str">
        <f>IF(ISBLANK($E8),"",VLOOKUP($E8,Teilnehmer!$B$4:$K$199,4,0))</f>
        <v>Ederer Marcus</v>
      </c>
      <c r="G8" s="286" t="str">
        <f>IF(ISBLANK($E8),"",VLOOKUP($E8,Teilnehmer!$B$4:$K$199,5,0))</f>
        <v>-</v>
      </c>
      <c r="H8" s="287" t="str">
        <f>IF(ISBLANK($E8),"",VLOOKUP($E8,Teilnehmer!$B$4:$K$199,6,0))</f>
        <v>MSC Mamming</v>
      </c>
      <c r="I8" s="181" t="str">
        <f>IF(ISBLANK($E8),"",VLOOKUP($E8,Teilnehmer!$B$4:$K$199,7,0))</f>
        <v>Winnik Stella</v>
      </c>
      <c r="J8" s="286" t="str">
        <f>IF(ISBLANK($E8),"",VLOOKUP($E8,Teilnehmer!$B$4:$K$199,8,0))</f>
        <v>.</v>
      </c>
      <c r="K8" s="287" t="str">
        <f>IF(ISBLANK($E8),"",VLOOKUP($E8,Teilnehmer!$B$4:$K$199,9,0))</f>
        <v>MSC Mamming</v>
      </c>
      <c r="L8" s="315" t="str">
        <f>IF(ISBLANK($E8),"",VLOOKUP($E8,Teilnehmer!$B$4:$K$199,10,0))</f>
        <v>BMW M3</v>
      </c>
      <c r="M8" s="317">
        <f>IF(ISBLANK($E8),"",IFERROR(VLOOKUP(E8,'G1'!$E$6:$P$203,9,0),IFERROR(VLOOKUP(E8,'G2'!$E$6:$P$208,9,0),VLOOKUP(E8,'G3'!$E$6:$P$199,9,0))))</f>
        <v>1.8365856481481424E-2</v>
      </c>
      <c r="N8" s="193"/>
      <c r="O8" s="194">
        <f>IF(ISBLANK($E8),"",IFERROR(VLOOKUP(E8,'G1'!$E$6:$P$203,10,0),IFERROR(VLOOKUP(E8,'G2'!$E$6:$P$208,10,0),VLOOKUP(E8,'G3'!$E$6:$P$199,10,0))))</f>
        <v>23</v>
      </c>
      <c r="P8" s="195">
        <f>IF(ISBLANK($E8),"",IFERROR(VLOOKUP(E8,'G1'!$E$6:$P$203,11,0),IFERROR(VLOOKUP(E8,'G2'!$E$6:$P$208,11,0),VLOOKUP(E8,'G3'!$E$6:$P$199,11,0))))</f>
        <v>10</v>
      </c>
      <c r="Q8" s="196">
        <f>IF(ISBLANK($E8),"",IFERROR(VLOOKUP(E8,'G1'!$E$6:$P$203,12,0),IFERROR(VLOOKUP(E8,'G2'!$E$6:$P$208,12,0),VLOOKUP(E8,'G3'!$E$6:$P$199,12,0))))</f>
        <v>33</v>
      </c>
      <c r="S8" s="198" t="str">
        <f t="shared" si="0"/>
        <v>ok</v>
      </c>
    </row>
    <row r="9" spans="2:21" s="197" customFormat="1" ht="27.75" customHeight="1">
      <c r="B9" s="188">
        <f t="shared" si="1"/>
        <v>4</v>
      </c>
      <c r="C9" s="189">
        <f>IF(ISBLANK($E9),"",VLOOKUP($E9,Teilnehmer!$B$4:$K$199,2,0))</f>
        <v>3</v>
      </c>
      <c r="D9" s="190">
        <f>IF(ISBLANK($E9),"",VLOOKUP($E9,Teilnehmer!$B$4:$K$199,3,0))</f>
        <v>11</v>
      </c>
      <c r="E9" s="191">
        <v>10</v>
      </c>
      <c r="F9" s="181" t="str">
        <f>IF(ISBLANK($E9),"",VLOOKUP($E9,Teilnehmer!$B$4:$K$199,4,0))</f>
        <v>Schweiger Andreas</v>
      </c>
      <c r="G9" s="286" t="str">
        <f>IF(ISBLANK($E9),"",VLOOKUP($E9,Teilnehmer!$B$4:$K$199,5,0))</f>
        <v>-</v>
      </c>
      <c r="H9" s="287" t="str">
        <f>IF(ISBLANK($E9),"",VLOOKUP($E9,Teilnehmer!$B$4:$K$199,6,0))</f>
        <v>MSC Emmersdorf</v>
      </c>
      <c r="I9" s="181" t="str">
        <f>IF(ISBLANK($E9),"",VLOOKUP($E9,Teilnehmer!$B$4:$K$199,7,0))</f>
        <v>Strobl Philip</v>
      </c>
      <c r="J9" s="286" t="str">
        <f>IF(ISBLANK($E9),"",VLOOKUP($E9,Teilnehmer!$B$4:$K$199,8,0))</f>
        <v>-</v>
      </c>
      <c r="K9" s="287" t="str">
        <f>IF(ISBLANK($E9),"",VLOOKUP($E9,Teilnehmer!$B$4:$K$199,9,0))</f>
        <v>SCC Grünthal</v>
      </c>
      <c r="L9" s="315" t="str">
        <f>IF(ISBLANK($E9),"",VLOOKUP($E9,Teilnehmer!$B$4:$K$199,10,0))</f>
        <v>Mitsubishi Lancer Evo 7</v>
      </c>
      <c r="M9" s="317">
        <f>IF(ISBLANK($E9),"",IFERROR(VLOOKUP(E9,'G1'!$E$6:$P$203,9,0),IFERROR(VLOOKUP(E9,'G2'!$E$6:$P$208,9,0),VLOOKUP(E9,'G3'!$E$6:$P$199,9,0))))</f>
        <v>1.8428125000000128E-2</v>
      </c>
      <c r="N9" s="193"/>
      <c r="O9" s="194">
        <f>IF(ISBLANK($E9),"",IFERROR(VLOOKUP(E9,'G1'!$E$6:$P$203,10,0),IFERROR(VLOOKUP(E9,'G2'!$E$6:$P$208,10,0),VLOOKUP(E9,'G3'!$E$6:$P$199,10,0))))</f>
        <v>19.36</v>
      </c>
      <c r="P9" s="195">
        <f>IF(ISBLANK($E9),"",IFERROR(VLOOKUP(E9,'G1'!$E$6:$P$203,11,0),IFERROR(VLOOKUP(E9,'G2'!$E$6:$P$208,11,0),VLOOKUP(E9,'G3'!$E$6:$P$199,11,0))))</f>
        <v>8.18</v>
      </c>
      <c r="Q9" s="196">
        <f>IF(ISBLANK($E9),"",IFERROR(VLOOKUP(E9,'G1'!$E$6:$P$203,12,0),IFERROR(VLOOKUP(E9,'G2'!$E$6:$P$208,12,0),VLOOKUP(E9,'G3'!$E$6:$P$199,12,0))))</f>
        <v>27.54</v>
      </c>
      <c r="S9" s="198" t="str">
        <f t="shared" si="0"/>
        <v>ok</v>
      </c>
    </row>
    <row r="10" spans="2:21" s="197" customFormat="1" ht="27.75" customHeight="1">
      <c r="B10" s="188">
        <f t="shared" si="1"/>
        <v>5</v>
      </c>
      <c r="C10" s="189">
        <f>IF(ISBLANK($E10),"",VLOOKUP($E10,Teilnehmer!$B$4:$K$199,2,0))</f>
        <v>3</v>
      </c>
      <c r="D10" s="190">
        <f>IF(ISBLANK($E10),"",VLOOKUP($E10,Teilnehmer!$B$4:$K$199,3,0))</f>
        <v>11</v>
      </c>
      <c r="E10" s="191">
        <v>7</v>
      </c>
      <c r="F10" s="181" t="str">
        <f>IF(ISBLANK($E10),"",VLOOKUP($E10,Teilnehmer!$B$4:$K$199,4,0))</f>
        <v>Kübler Ulrich</v>
      </c>
      <c r="G10" s="286" t="str">
        <f>IF(ISBLANK($E10),"",VLOOKUP($E10,Teilnehmer!$B$4:$K$199,5,0))</f>
        <v>-</v>
      </c>
      <c r="H10" s="287" t="str">
        <f>IF(ISBLANK($E10),"",VLOOKUP($E10,Teilnehmer!$B$4:$K$199,6,0))</f>
        <v>HMC Öhringen</v>
      </c>
      <c r="I10" s="181" t="str">
        <f>IF(ISBLANK($E10),"",VLOOKUP($E10,Teilnehmer!$B$4:$K$199,7,0))</f>
        <v>Kübler Rick</v>
      </c>
      <c r="J10" s="286" t="str">
        <f>IF(ISBLANK($E10),"",VLOOKUP($E10,Teilnehmer!$B$4:$K$199,8,0))</f>
        <v>-</v>
      </c>
      <c r="K10" s="287" t="str">
        <f>IF(ISBLANK($E10),"",VLOOKUP($E10,Teilnehmer!$B$4:$K$199,9,0))</f>
        <v>-</v>
      </c>
      <c r="L10" s="315" t="str">
        <f>IF(ISBLANK($E10),"",VLOOKUP($E10,Teilnehmer!$B$4:$K$199,10,0))</f>
        <v>Mitsubishi Lancer EVO 8</v>
      </c>
      <c r="M10" s="317">
        <f>IF(ISBLANK($E10),"",IFERROR(VLOOKUP(E10,'G1'!$E$6:$P$203,9,0),IFERROR(VLOOKUP(E10,'G2'!$E$6:$P$208,9,0),VLOOKUP(E10,'G3'!$E$6:$P$199,9,0))))</f>
        <v>1.8668634259259409E-2</v>
      </c>
      <c r="N10" s="193"/>
      <c r="O10" s="194">
        <f>IF(ISBLANK($E10),"",IFERROR(VLOOKUP(E10,'G1'!$E$6:$P$203,10,0),IFERROR(VLOOKUP(E10,'G2'!$E$6:$P$208,10,0),VLOOKUP(E10,'G3'!$E$6:$P$199,10,0))))</f>
        <v>17.55</v>
      </c>
      <c r="P10" s="195">
        <f>IF(ISBLANK($E10),"",IFERROR(VLOOKUP(E10,'G1'!$E$6:$P$203,11,0),IFERROR(VLOOKUP(E10,'G2'!$E$6:$P$208,11,0),VLOOKUP(E10,'G3'!$E$6:$P$199,11,0))))</f>
        <v>7.27</v>
      </c>
      <c r="Q10" s="196">
        <f>IF(ISBLANK($E10),"",IFERROR(VLOOKUP(E10,'G1'!$E$6:$P$203,12,0),IFERROR(VLOOKUP(E10,'G2'!$E$6:$P$208,12,0),VLOOKUP(E10,'G3'!$E$6:$P$199,12,0))))</f>
        <v>24.82</v>
      </c>
      <c r="S10" s="198" t="str">
        <f t="shared" si="0"/>
        <v>ok</v>
      </c>
    </row>
    <row r="11" spans="2:21" s="197" customFormat="1" ht="27.75" customHeight="1">
      <c r="B11" s="188">
        <f t="shared" si="1"/>
        <v>6</v>
      </c>
      <c r="C11" s="189">
        <f>IF(ISBLANK($E11),"",VLOOKUP($E11,Teilnehmer!$B$4:$K$199,2,0))</f>
        <v>2</v>
      </c>
      <c r="D11" s="190">
        <f>IF(ISBLANK($E11),"",VLOOKUP($E11,Teilnehmer!$B$4:$K$199,3,0))</f>
        <v>10</v>
      </c>
      <c r="E11" s="191">
        <v>13</v>
      </c>
      <c r="F11" s="181" t="str">
        <f>IF(ISBLANK($E11),"",VLOOKUP($E11,Teilnehmer!$B$4:$K$199,4,0))</f>
        <v>Köhler Fritz</v>
      </c>
      <c r="G11" s="286" t="str">
        <f>IF(ISBLANK($E11),"",VLOOKUP($E11,Teilnehmer!$B$4:$K$199,5,0))</f>
        <v>-</v>
      </c>
      <c r="H11" s="287" t="str">
        <f>IF(ISBLANK($E11),"",VLOOKUP($E11,Teilnehmer!$B$4:$K$199,6,0))</f>
        <v>-</v>
      </c>
      <c r="I11" s="181" t="str">
        <f>IF(ISBLANK($E11),"",VLOOKUP($E11,Teilnehmer!$B$4:$K$199,7,0))</f>
        <v>Hägele Petra</v>
      </c>
      <c r="J11" s="286" t="str">
        <f>IF(ISBLANK($E11),"",VLOOKUP($E11,Teilnehmer!$B$4:$K$199,8,0))</f>
        <v>-</v>
      </c>
      <c r="K11" s="287" t="str">
        <f>IF(ISBLANK($E11),"",VLOOKUP($E11,Teilnehmer!$B$4:$K$199,9,0))</f>
        <v>-</v>
      </c>
      <c r="L11" s="315" t="str">
        <f>IF(ISBLANK($E11),"",VLOOKUP($E11,Teilnehmer!$B$4:$K$199,10,0))</f>
        <v>BMW M3 e30</v>
      </c>
      <c r="M11" s="317">
        <f>IF(ISBLANK($E11),"",IFERROR(VLOOKUP(E11,'G1'!$E$6:$P$203,9,0),IFERROR(VLOOKUP(E11,'G2'!$E$6:$P$208,9,0),VLOOKUP(E11,'G3'!$E$6:$P$199,9,0))))</f>
        <v>1.8998842592592546E-2</v>
      </c>
      <c r="N11" s="193"/>
      <c r="O11" s="194">
        <f>IF(ISBLANK($E11),"",IFERROR(VLOOKUP(E11,'G1'!$E$6:$P$203,10,0),IFERROR(VLOOKUP(E11,'G2'!$E$6:$P$208,10,0),VLOOKUP(E11,'G3'!$E$6:$P$199,10,0))))</f>
        <v>20.5</v>
      </c>
      <c r="P11" s="195">
        <f>IF(ISBLANK($E11),"",IFERROR(VLOOKUP(E11,'G1'!$E$6:$P$203,11,0),IFERROR(VLOOKUP(E11,'G2'!$E$6:$P$208,11,0),VLOOKUP(E11,'G3'!$E$6:$P$199,11,0))))</f>
        <v>9.76</v>
      </c>
      <c r="Q11" s="196">
        <f>IF(ISBLANK($E11),"",IFERROR(VLOOKUP(E11,'G1'!$E$6:$P$203,12,0),IFERROR(VLOOKUP(E11,'G2'!$E$6:$P$208,12,0),VLOOKUP(E11,'G3'!$E$6:$P$199,12,0))))</f>
        <v>30.26</v>
      </c>
      <c r="S11" s="198" t="str">
        <f t="shared" si="0"/>
        <v>ok</v>
      </c>
    </row>
    <row r="12" spans="2:21" s="197" customFormat="1" ht="27.75" customHeight="1">
      <c r="B12" s="188">
        <f t="shared" si="1"/>
        <v>7</v>
      </c>
      <c r="C12" s="189">
        <f>IF(ISBLANK($E12),"",VLOOKUP($E12,Teilnehmer!$B$4:$K$199,2,0))</f>
        <v>2</v>
      </c>
      <c r="D12" s="190">
        <f>IF(ISBLANK($E12),"",VLOOKUP($E12,Teilnehmer!$B$4:$K$199,3,0))</f>
        <v>9</v>
      </c>
      <c r="E12" s="191">
        <v>26</v>
      </c>
      <c r="F12" s="181" t="str">
        <f>IF(ISBLANK($E12),"",VLOOKUP($E12,Teilnehmer!$B$4:$K$199,4,0))</f>
        <v>Hammel Daniel</v>
      </c>
      <c r="G12" s="286" t="str">
        <f>IF(ISBLANK($E12),"",VLOOKUP($E12,Teilnehmer!$B$4:$K$199,5,0))</f>
        <v>-</v>
      </c>
      <c r="H12" s="287" t="str">
        <f>IF(ISBLANK($E12),"",VLOOKUP($E12,Teilnehmer!$B$4:$K$199,6,0))</f>
        <v>HMC Öhringen</v>
      </c>
      <c r="I12" s="181" t="str">
        <f>IF(ISBLANK($E12),"",VLOOKUP($E12,Teilnehmer!$B$4:$K$199,7,0))</f>
        <v>Klotz Matthias</v>
      </c>
      <c r="J12" s="286" t="str">
        <f>IF(ISBLANK($E12),"",VLOOKUP($E12,Teilnehmer!$B$4:$K$199,8,0))</f>
        <v>-</v>
      </c>
      <c r="K12" s="287" t="str">
        <f>IF(ISBLANK($E12),"",VLOOKUP($E12,Teilnehmer!$B$4:$K$199,9,0))</f>
        <v>-</v>
      </c>
      <c r="L12" s="315" t="str">
        <f>IF(ISBLANK($E12),"",VLOOKUP($E12,Teilnehmer!$B$4:$K$199,10,0))</f>
        <v>Honda Civic Type-R FN2</v>
      </c>
      <c r="M12" s="317">
        <f>IF(ISBLANK($E12),"",IFERROR(VLOOKUP(E12,'G1'!$E$6:$P$203,9,0),IFERROR(VLOOKUP(E12,'G2'!$E$6:$P$208,9,0),VLOOKUP(E12,'G3'!$E$6:$P$199,9,0))))</f>
        <v>1.9201736111111201E-2</v>
      </c>
      <c r="N12" s="193"/>
      <c r="O12" s="194">
        <f>IF(ISBLANK($E12),"",IFERROR(VLOOKUP(E12,'G1'!$E$6:$P$203,10,0),IFERROR(VLOOKUP(E12,'G2'!$E$6:$P$208,10,0),VLOOKUP(E12,'G3'!$E$6:$P$199,10,0))))</f>
        <v>23</v>
      </c>
      <c r="P12" s="195">
        <f>IF(ISBLANK($E12),"",IFERROR(VLOOKUP(E12,'G1'!$E$6:$P$203,11,0),IFERROR(VLOOKUP(E12,'G2'!$E$6:$P$208,11,0),VLOOKUP(E12,'G3'!$E$6:$P$199,11,0))))</f>
        <v>9.52</v>
      </c>
      <c r="Q12" s="196">
        <f>IF(ISBLANK($E12),"",IFERROR(VLOOKUP(E12,'G1'!$E$6:$P$203,12,0),IFERROR(VLOOKUP(E12,'G2'!$E$6:$P$208,12,0),VLOOKUP(E12,'G3'!$E$6:$P$199,12,0))))</f>
        <v>32.520000000000003</v>
      </c>
      <c r="S12" s="198" t="str">
        <f t="shared" si="0"/>
        <v>ok</v>
      </c>
    </row>
    <row r="13" spans="2:21" s="197" customFormat="1" ht="27.75" customHeight="1">
      <c r="B13" s="188">
        <f t="shared" si="1"/>
        <v>8</v>
      </c>
      <c r="C13" s="189">
        <f>IF(ISBLANK($E13),"",VLOOKUP($E13,Teilnehmer!$B$4:$K$199,2,0))</f>
        <v>3</v>
      </c>
      <c r="D13" s="190">
        <f>IF(ISBLANK($E13),"",VLOOKUP($E13,Teilnehmer!$B$4:$K$199,3,0))</f>
        <v>11</v>
      </c>
      <c r="E13" s="191">
        <v>3</v>
      </c>
      <c r="F13" s="181" t="str">
        <f>IF(ISBLANK($E13),"",VLOOKUP($E13,Teilnehmer!$B$4:$K$199,4,0))</f>
        <v>Köhler Stephan</v>
      </c>
      <c r="G13" s="286">
        <f>IF(ISBLANK($E13),"",VLOOKUP($E13,Teilnehmer!$B$4:$K$199,5,0))</f>
        <v>15208</v>
      </c>
      <c r="H13" s="287" t="str">
        <f>IF(ISBLANK($E13),"",VLOOKUP($E13,Teilnehmer!$B$4:$K$199,6,0))</f>
        <v>MSC Mamming</v>
      </c>
      <c r="I13" s="181" t="str">
        <f>IF(ISBLANK($E13),"",VLOOKUP($E13,Teilnehmer!$B$4:$K$199,7,0))</f>
        <v>Schachtner Michaela</v>
      </c>
      <c r="J13" s="286">
        <f>IF(ISBLANK($E13),"",VLOOKUP($E13,Teilnehmer!$B$4:$K$199,8,0))</f>
        <v>16147</v>
      </c>
      <c r="K13" s="287" t="str">
        <f>IF(ISBLANK($E13),"",VLOOKUP($E13,Teilnehmer!$B$4:$K$199,9,0))</f>
        <v>MSC Emmersdorf</v>
      </c>
      <c r="L13" s="315" t="str">
        <f>IF(ISBLANK($E13),"",VLOOKUP($E13,Teilnehmer!$B$4:$K$199,10,0))</f>
        <v>Mitsubishi EV6</v>
      </c>
      <c r="M13" s="317">
        <f>IF(ISBLANK($E13),"",IFERROR(VLOOKUP(E13,'G1'!$E$6:$P$203,9,0),IFERROR(VLOOKUP(E13,'G2'!$E$6:$P$208,9,0),VLOOKUP(E13,'G3'!$E$6:$P$199,9,0))))</f>
        <v>1.9214351851851996E-2</v>
      </c>
      <c r="N13" s="193"/>
      <c r="O13" s="194">
        <f>IF(ISBLANK($E13),"",IFERROR(VLOOKUP(E13,'G1'!$E$6:$P$203,10,0),IFERROR(VLOOKUP(E13,'G2'!$E$6:$P$208,10,0),VLOOKUP(E13,'G3'!$E$6:$P$199,10,0))))</f>
        <v>15.73</v>
      </c>
      <c r="P13" s="195">
        <f>IF(ISBLANK($E13),"",IFERROR(VLOOKUP(E13,'G1'!$E$6:$P$203,11,0),IFERROR(VLOOKUP(E13,'G2'!$E$6:$P$208,11,0),VLOOKUP(E13,'G3'!$E$6:$P$199,11,0))))</f>
        <v>6.36</v>
      </c>
      <c r="Q13" s="196">
        <f>IF(ISBLANK($E13),"",IFERROR(VLOOKUP(E13,'G1'!$E$6:$P$203,12,0),IFERROR(VLOOKUP(E13,'G2'!$E$6:$P$208,12,0),VLOOKUP(E13,'G3'!$E$6:$P$199,12,0))))</f>
        <v>22.09</v>
      </c>
      <c r="S13" s="198" t="str">
        <f t="shared" si="0"/>
        <v>ok</v>
      </c>
    </row>
    <row r="14" spans="2:21" s="197" customFormat="1" ht="27.75" customHeight="1">
      <c r="B14" s="188">
        <f t="shared" si="1"/>
        <v>9</v>
      </c>
      <c r="C14" s="189">
        <f>IF(ISBLANK($E14),"",VLOOKUP($E14,Teilnehmer!$B$4:$K$199,2,0))</f>
        <v>3</v>
      </c>
      <c r="D14" s="190">
        <f>IF(ISBLANK($E14),"",VLOOKUP($E14,Teilnehmer!$B$4:$K$199,3,0))</f>
        <v>11</v>
      </c>
      <c r="E14" s="191">
        <v>60</v>
      </c>
      <c r="F14" s="181" t="str">
        <f>IF(ISBLANK($E14),"",VLOOKUP($E14,Teilnehmer!$B$4:$K$199,4,0))</f>
        <v>Hillreiner Stefan</v>
      </c>
      <c r="G14" s="286" t="str">
        <f>IF(ISBLANK($E14),"",VLOOKUP($E14,Teilnehmer!$B$4:$K$199,5,0))</f>
        <v>-</v>
      </c>
      <c r="H14" s="287" t="str">
        <f>IF(ISBLANK($E14),"",VLOOKUP($E14,Teilnehmer!$B$4:$K$199,6,0))</f>
        <v>Scuderia Neuburg</v>
      </c>
      <c r="I14" s="181" t="str">
        <f>IF(ISBLANK($E14),"",VLOOKUP($E14,Teilnehmer!$B$4:$K$199,7,0))</f>
        <v>Alzheimer Dominik</v>
      </c>
      <c r="J14" s="286" t="str">
        <f>IF(ISBLANK($E14),"",VLOOKUP($E14,Teilnehmer!$B$4:$K$199,8,0))</f>
        <v>-</v>
      </c>
      <c r="K14" s="287" t="str">
        <f>IF(ISBLANK($E14),"",VLOOKUP($E14,Teilnehmer!$B$4:$K$199,9,0))</f>
        <v>-</v>
      </c>
      <c r="L14" s="315" t="str">
        <f>IF(ISBLANK($E14),"",VLOOKUP($E14,Teilnehmer!$B$4:$K$199,10,0))</f>
        <v>Audi TTRS</v>
      </c>
      <c r="M14" s="317">
        <f>IF(ISBLANK($E14),"",IFERROR(VLOOKUP(E14,'G1'!$E$6:$P$203,9,0),IFERROR(VLOOKUP(E14,'G2'!$E$6:$P$208,9,0),VLOOKUP(E14,'G3'!$E$6:$P$199,9,0))))</f>
        <v>1.9389004629629503E-2</v>
      </c>
      <c r="N14" s="193"/>
      <c r="O14" s="194">
        <f>IF(ISBLANK($E14),"",IFERROR(VLOOKUP(E14,'G1'!$E$6:$P$203,10,0),IFERROR(VLOOKUP(E14,'G2'!$E$6:$P$208,10,0),VLOOKUP(E14,'G3'!$E$6:$P$199,10,0))))</f>
        <v>13.91</v>
      </c>
      <c r="P14" s="195">
        <f>IF(ISBLANK($E14),"",IFERROR(VLOOKUP(E14,'G1'!$E$6:$P$203,11,0),IFERROR(VLOOKUP(E14,'G2'!$E$6:$P$208,11,0),VLOOKUP(E14,'G3'!$E$6:$P$199,11,0))))</f>
        <v>5.45</v>
      </c>
      <c r="Q14" s="196">
        <f>IF(ISBLANK($E14),"",IFERROR(VLOOKUP(E14,'G1'!$E$6:$P$203,12,0),IFERROR(VLOOKUP(E14,'G2'!$E$6:$P$208,12,0),VLOOKUP(E14,'G3'!$E$6:$P$199,12,0))))</f>
        <v>19.36</v>
      </c>
      <c r="S14" s="198" t="str">
        <f t="shared" si="0"/>
        <v>ok</v>
      </c>
    </row>
    <row r="15" spans="2:21" s="197" customFormat="1" ht="27.75" customHeight="1">
      <c r="B15" s="188">
        <f t="shared" si="1"/>
        <v>10</v>
      </c>
      <c r="C15" s="189">
        <f>IF(ISBLANK($E15),"",VLOOKUP($E15,Teilnehmer!$B$4:$K$199,2,0))</f>
        <v>2</v>
      </c>
      <c r="D15" s="190">
        <f>IF(ISBLANK($E15),"",VLOOKUP($E15,Teilnehmer!$B$4:$K$199,3,0))</f>
        <v>8</v>
      </c>
      <c r="E15" s="191">
        <v>44</v>
      </c>
      <c r="F15" s="181" t="str">
        <f>IF(ISBLANK($E15),"",VLOOKUP($E15,Teilnehmer!$B$4:$K$199,4,0))</f>
        <v>Michel Torsten</v>
      </c>
      <c r="G15" s="286">
        <f>IF(ISBLANK($E15),"",VLOOKUP($E15,Teilnehmer!$B$4:$K$199,5,0))</f>
        <v>14855</v>
      </c>
      <c r="H15" s="287" t="str">
        <f>IF(ISBLANK($E15),"",VLOOKUP($E15,Teilnehmer!$B$4:$K$199,6,0))</f>
        <v>Chaosteam Motorsport</v>
      </c>
      <c r="I15" s="181" t="str">
        <f>IF(ISBLANK($E15),"",VLOOKUP($E15,Teilnehmer!$B$4:$K$199,7,0))</f>
        <v>Diehm Samantha</v>
      </c>
      <c r="J15" s="286">
        <f>IF(ISBLANK($E15),"",VLOOKUP($E15,Teilnehmer!$B$4:$K$199,8,0))</f>
        <v>15622</v>
      </c>
      <c r="K15" s="287" t="str">
        <f>IF(ISBLANK($E15),"",VLOOKUP($E15,Teilnehmer!$B$4:$K$199,9,0))</f>
        <v>Chaosteam Motorsport</v>
      </c>
      <c r="L15" s="315" t="str">
        <f>IF(ISBLANK($E15),"",VLOOKUP($E15,Teilnehmer!$B$4:$K$199,10,0))</f>
        <v>Ford Fiesta Rally 4</v>
      </c>
      <c r="M15" s="317">
        <f>IF(ISBLANK($E15),"",IFERROR(VLOOKUP(E15,'G1'!$E$6:$P$203,9,0),IFERROR(VLOOKUP(E15,'G2'!$E$6:$P$208,9,0),VLOOKUP(E15,'G3'!$E$6:$P$199,9,0))))</f>
        <v>1.9428009259259249E-2</v>
      </c>
      <c r="N15" s="193"/>
      <c r="O15" s="194">
        <f>IF(ISBLANK($E15),"",IFERROR(VLOOKUP(E15,'G1'!$E$6:$P$203,10,0),IFERROR(VLOOKUP(E15,'G2'!$E$6:$P$208,10,0),VLOOKUP(E15,'G3'!$E$6:$P$199,10,0))))</f>
        <v>23</v>
      </c>
      <c r="P15" s="195">
        <f>IF(ISBLANK($E15),"",IFERROR(VLOOKUP(E15,'G1'!$E$6:$P$203,11,0),IFERROR(VLOOKUP(E15,'G2'!$E$6:$P$208,11,0),VLOOKUP(E15,'G3'!$E$6:$P$199,11,0))))</f>
        <v>9.2899999999999991</v>
      </c>
      <c r="Q15" s="196">
        <f>IF(ISBLANK($E15),"",IFERROR(VLOOKUP(E15,'G1'!$E$6:$P$203,12,0),IFERROR(VLOOKUP(E15,'G2'!$E$6:$P$208,12,0),VLOOKUP(E15,'G3'!$E$6:$P$199,12,0))))</f>
        <v>32.29</v>
      </c>
      <c r="S15" s="198" t="str">
        <f t="shared" si="0"/>
        <v>ok</v>
      </c>
    </row>
    <row r="16" spans="2:21" s="197" customFormat="1" ht="27.75" customHeight="1">
      <c r="B16" s="188">
        <f t="shared" si="1"/>
        <v>11</v>
      </c>
      <c r="C16" s="189">
        <f>IF(ISBLANK($E16),"",VLOOKUP($E16,Teilnehmer!$B$4:$K$199,2,0))</f>
        <v>2</v>
      </c>
      <c r="D16" s="190">
        <f>IF(ISBLANK($E16),"",VLOOKUP($E16,Teilnehmer!$B$4:$K$199,3,0))</f>
        <v>9</v>
      </c>
      <c r="E16" s="191">
        <v>35</v>
      </c>
      <c r="F16" s="181" t="str">
        <f>IF(ISBLANK($E16),"",VLOOKUP($E16,Teilnehmer!$B$4:$K$199,4,0))</f>
        <v>Kübler Oliver</v>
      </c>
      <c r="G16" s="286" t="str">
        <f>IF(ISBLANK($E16),"",VLOOKUP($E16,Teilnehmer!$B$4:$K$199,5,0))</f>
        <v>-</v>
      </c>
      <c r="H16" s="287" t="str">
        <f>IF(ISBLANK($E16),"",VLOOKUP($E16,Teilnehmer!$B$4:$K$199,6,0))</f>
        <v>HWRT Wohlmuthausen</v>
      </c>
      <c r="I16" s="181" t="str">
        <f>IF(ISBLANK($E16),"",VLOOKUP($E16,Teilnehmer!$B$4:$K$199,7,0))</f>
        <v>Hochhäuser Michael</v>
      </c>
      <c r="J16" s="286" t="str">
        <f>IF(ISBLANK($E16),"",VLOOKUP($E16,Teilnehmer!$B$4:$K$199,8,0))</f>
        <v>-</v>
      </c>
      <c r="K16" s="287" t="str">
        <f>IF(ISBLANK($E16),"",VLOOKUP($E16,Teilnehmer!$B$4:$K$199,9,0))</f>
        <v>HWRT Wohlmuthausen</v>
      </c>
      <c r="L16" s="315" t="str">
        <f>IF(ISBLANK($E16),"",VLOOKUP($E16,Teilnehmer!$B$4:$K$199,10,0))</f>
        <v>BMW E30 318is</v>
      </c>
      <c r="M16" s="317">
        <f>IF(ISBLANK($E16),"",IFERROR(VLOOKUP(E16,'G1'!$E$6:$P$203,9,0),IFERROR(VLOOKUP(E16,'G2'!$E$6:$P$208,9,0),VLOOKUP(E16,'G3'!$E$6:$P$199,9,0))))</f>
        <v>1.9539120370370533E-2</v>
      </c>
      <c r="N16" s="193"/>
      <c r="O16" s="194">
        <f>IF(ISBLANK($E16),"",IFERROR(VLOOKUP(E16,'G1'!$E$6:$P$203,10,0),IFERROR(VLOOKUP(E16,'G2'!$E$6:$P$208,10,0),VLOOKUP(E16,'G3'!$E$6:$P$199,10,0))))</f>
        <v>22</v>
      </c>
      <c r="P16" s="195">
        <f>IF(ISBLANK($E16),"",IFERROR(VLOOKUP(E16,'G1'!$E$6:$P$203,11,0),IFERROR(VLOOKUP(E16,'G2'!$E$6:$P$208,11,0),VLOOKUP(E16,'G3'!$E$6:$P$199,11,0))))</f>
        <v>9.0500000000000007</v>
      </c>
      <c r="Q16" s="196">
        <f>IF(ISBLANK($E16),"",IFERROR(VLOOKUP(E16,'G1'!$E$6:$P$203,12,0),IFERROR(VLOOKUP(E16,'G2'!$E$6:$P$208,12,0),VLOOKUP(E16,'G3'!$E$6:$P$199,12,0))))</f>
        <v>31.05</v>
      </c>
      <c r="S16" s="198" t="str">
        <f t="shared" si="0"/>
        <v>ok</v>
      </c>
    </row>
    <row r="17" spans="2:19" s="197" customFormat="1" ht="27.75" customHeight="1">
      <c r="B17" s="188">
        <f t="shared" si="1"/>
        <v>12</v>
      </c>
      <c r="C17" s="189">
        <f>IF(ISBLANK($E17),"",VLOOKUP($E17,Teilnehmer!$B$4:$K$199,2,0))</f>
        <v>2</v>
      </c>
      <c r="D17" s="190">
        <f>IF(ISBLANK($E17),"",VLOOKUP($E17,Teilnehmer!$B$4:$K$199,3,0))</f>
        <v>9</v>
      </c>
      <c r="E17" s="191">
        <v>33</v>
      </c>
      <c r="F17" s="181" t="str">
        <f>IF(ISBLANK($E17),"",VLOOKUP($E17,Teilnehmer!$B$4:$K$199,4,0))</f>
        <v>Kohler Sven</v>
      </c>
      <c r="G17" s="286" t="str">
        <f>IF(ISBLANK($E17),"",VLOOKUP($E17,Teilnehmer!$B$4:$K$199,5,0))</f>
        <v>-</v>
      </c>
      <c r="H17" s="287" t="str">
        <f>IF(ISBLANK($E17),"",VLOOKUP($E17,Teilnehmer!$B$4:$K$199,6,0))</f>
        <v>RC Pommes</v>
      </c>
      <c r="I17" s="181" t="str">
        <f>IF(ISBLANK($E17),"",VLOOKUP($E17,Teilnehmer!$B$4:$K$199,7,0))</f>
        <v>Hinrichs Anna</v>
      </c>
      <c r="J17" s="286">
        <f>IF(ISBLANK($E17),"",VLOOKUP($E17,Teilnehmer!$B$4:$K$199,8,0))</f>
        <v>15287</v>
      </c>
      <c r="K17" s="287" t="str">
        <f>IF(ISBLANK($E17),"",VLOOKUP($E17,Teilnehmer!$B$4:$K$199,9,0))</f>
        <v>RG Ga(a)s</v>
      </c>
      <c r="L17" s="315" t="str">
        <f>IF(ISBLANK($E17),"",VLOOKUP($E17,Teilnehmer!$B$4:$K$199,10,0))</f>
        <v>BMW E30 320is</v>
      </c>
      <c r="M17" s="317">
        <f>IF(ISBLANK($E17),"",IFERROR(VLOOKUP(E17,'G1'!$E$6:$P$203,9,0),IFERROR(VLOOKUP(E17,'G2'!$E$6:$P$208,9,0),VLOOKUP(E17,'G3'!$E$6:$P$199,9,0))))</f>
        <v>1.955497685185198E-2</v>
      </c>
      <c r="N17" s="193"/>
      <c r="O17" s="194">
        <f>IF(ISBLANK($E17),"",IFERROR(VLOOKUP(E17,'G1'!$E$6:$P$203,10,0),IFERROR(VLOOKUP(E17,'G2'!$E$6:$P$208,10,0),VLOOKUP(E17,'G3'!$E$6:$P$199,10,0))))</f>
        <v>21</v>
      </c>
      <c r="P17" s="195">
        <f>IF(ISBLANK($E17),"",IFERROR(VLOOKUP(E17,'G1'!$E$6:$P$203,11,0),IFERROR(VLOOKUP(E17,'G2'!$E$6:$P$208,11,0),VLOOKUP(E17,'G3'!$E$6:$P$199,11,0))))</f>
        <v>8.81</v>
      </c>
      <c r="Q17" s="196">
        <f>IF(ISBLANK($E17),"",IFERROR(VLOOKUP(E17,'G1'!$E$6:$P$203,12,0),IFERROR(VLOOKUP(E17,'G2'!$E$6:$P$208,12,0),VLOOKUP(E17,'G3'!$E$6:$P$199,12,0))))</f>
        <v>29.81</v>
      </c>
      <c r="S17" s="198" t="str">
        <f t="shared" si="0"/>
        <v>ok</v>
      </c>
    </row>
    <row r="18" spans="2:19" s="197" customFormat="1" ht="27.75" customHeight="1">
      <c r="B18" s="188">
        <f t="shared" si="1"/>
        <v>13</v>
      </c>
      <c r="C18" s="189">
        <f>IF(ISBLANK($E18),"",VLOOKUP($E18,Teilnehmer!$B$4:$K$199,2,0))</f>
        <v>2</v>
      </c>
      <c r="D18" s="190">
        <f>IF(ISBLANK($E18),"",VLOOKUP($E18,Teilnehmer!$B$4:$K$199,3,0))</f>
        <v>9</v>
      </c>
      <c r="E18" s="191">
        <v>21</v>
      </c>
      <c r="F18" s="181" t="str">
        <f>IF(ISBLANK($E18),"",VLOOKUP($E18,Teilnehmer!$B$4:$K$199,4,0))</f>
        <v>Bader Steffen</v>
      </c>
      <c r="G18" s="286">
        <f>IF(ISBLANK($E18),"",VLOOKUP($E18,Teilnehmer!$B$4:$K$199,5,0))</f>
        <v>16280</v>
      </c>
      <c r="H18" s="287" t="str">
        <f>IF(ISBLANK($E18),"",VLOOKUP($E18,Teilnehmer!$B$4:$K$199,6,0))</f>
        <v>-</v>
      </c>
      <c r="I18" s="181" t="str">
        <f>IF(ISBLANK($E18),"",VLOOKUP($E18,Teilnehmer!$B$4:$K$199,7,0))</f>
        <v>Laib Dieter</v>
      </c>
      <c r="J18" s="286">
        <f>IF(ISBLANK($E18),"",VLOOKUP($E18,Teilnehmer!$B$4:$K$199,8,0))</f>
        <v>16284</v>
      </c>
      <c r="K18" s="287" t="str">
        <f>IF(ISBLANK($E18),"",VLOOKUP($E18,Teilnehmer!$B$4:$K$199,9,0))</f>
        <v>-</v>
      </c>
      <c r="L18" s="315" t="str">
        <f>IF(ISBLANK($E18),"",VLOOKUP($E18,Teilnehmer!$B$4:$K$199,10,0))</f>
        <v>Opel Kadett C</v>
      </c>
      <c r="M18" s="317">
        <f>IF(ISBLANK($E18),"",IFERROR(VLOOKUP(E18,'G1'!$E$6:$P$203,9,0),IFERROR(VLOOKUP(E18,'G2'!$E$6:$P$208,9,0),VLOOKUP(E18,'G3'!$E$6:$P$199,9,0))))</f>
        <v>1.9593287037036777E-2</v>
      </c>
      <c r="N18" s="193"/>
      <c r="O18" s="194">
        <f>IF(ISBLANK($E18),"",IFERROR(VLOOKUP(E18,'G1'!$E$6:$P$203,10,0),IFERROR(VLOOKUP(E18,'G2'!$E$6:$P$208,10,0),VLOOKUP(E18,'G3'!$E$6:$P$199,10,0))))</f>
        <v>20</v>
      </c>
      <c r="P18" s="195">
        <f>IF(ISBLANK($E18),"",IFERROR(VLOOKUP(E18,'G1'!$E$6:$P$203,11,0),IFERROR(VLOOKUP(E18,'G2'!$E$6:$P$208,11,0),VLOOKUP(E18,'G3'!$E$6:$P$199,11,0))))</f>
        <v>8.57</v>
      </c>
      <c r="Q18" s="196">
        <f>IF(ISBLANK($E18),"",IFERROR(VLOOKUP(E18,'G1'!$E$6:$P$203,12,0),IFERROR(VLOOKUP(E18,'G2'!$E$6:$P$208,12,0),VLOOKUP(E18,'G3'!$E$6:$P$199,12,0))))</f>
        <v>28.57</v>
      </c>
      <c r="S18" s="198" t="str">
        <f t="shared" si="0"/>
        <v>ok</v>
      </c>
    </row>
    <row r="19" spans="2:19" s="197" customFormat="1" ht="27.75" customHeight="1">
      <c r="B19" s="188">
        <f t="shared" si="1"/>
        <v>14</v>
      </c>
      <c r="C19" s="189">
        <f>IF(ISBLANK($E19),"",VLOOKUP($E19,Teilnehmer!$B$4:$K$199,2,0))</f>
        <v>2</v>
      </c>
      <c r="D19" s="190">
        <f>IF(ISBLANK($E19),"",VLOOKUP($E19,Teilnehmer!$B$4:$K$199,3,0))</f>
        <v>8</v>
      </c>
      <c r="E19" s="191">
        <v>39</v>
      </c>
      <c r="F19" s="181" t="str">
        <f>IF(ISBLANK($E19),"",VLOOKUP($E19,Teilnehmer!$B$4:$K$199,4,0))</f>
        <v>Bruchhäuser Gil</v>
      </c>
      <c r="G19" s="286">
        <f>IF(ISBLANK($E19),"",VLOOKUP($E19,Teilnehmer!$B$4:$K$199,5,0))</f>
        <v>16444</v>
      </c>
      <c r="H19" s="287" t="str">
        <f>IF(ISBLANK($E19),"",VLOOKUP($E19,Teilnehmer!$B$4:$K$199,6,0))</f>
        <v>RG Ga(a)s</v>
      </c>
      <c r="I19" s="181" t="str">
        <f>IF(ISBLANK($E19),"",VLOOKUP($E19,Teilnehmer!$B$4:$K$199,7,0))</f>
        <v>Kölsch Björn</v>
      </c>
      <c r="J19" s="286">
        <f>IF(ISBLANK($E19),"",VLOOKUP($E19,Teilnehmer!$B$4:$K$199,8,0))</f>
        <v>16445</v>
      </c>
      <c r="K19" s="287" t="str">
        <f>IF(ISBLANK($E19),"",VLOOKUP($E19,Teilnehmer!$B$4:$K$199,9,0))</f>
        <v>-</v>
      </c>
      <c r="L19" s="315" t="str">
        <f>IF(ISBLANK($E19),"",VLOOKUP($E19,Teilnehmer!$B$4:$K$199,10,0))</f>
        <v>Citroën C2 R2 Max</v>
      </c>
      <c r="M19" s="317">
        <f>IF(ISBLANK($E19),"",IFERROR(VLOOKUP(E19,'G1'!$E$6:$P$203,9,0),IFERROR(VLOOKUP(E19,'G2'!$E$6:$P$208,9,0),VLOOKUP(E19,'G3'!$E$6:$P$199,9,0))))</f>
        <v>1.9763078703703751E-2</v>
      </c>
      <c r="N19" s="193"/>
      <c r="O19" s="194">
        <f>IF(ISBLANK($E19),"",IFERROR(VLOOKUP(E19,'G1'!$E$6:$P$203,10,0),IFERROR(VLOOKUP(E19,'G2'!$E$6:$P$208,10,0),VLOOKUP(E19,'G3'!$E$6:$P$199,10,0))))</f>
        <v>21.18</v>
      </c>
      <c r="P19" s="195">
        <f>IF(ISBLANK($E19),"",IFERROR(VLOOKUP(E19,'G1'!$E$6:$P$203,11,0),IFERROR(VLOOKUP(E19,'G2'!$E$6:$P$208,11,0),VLOOKUP(E19,'G3'!$E$6:$P$199,11,0))))</f>
        <v>8.33</v>
      </c>
      <c r="Q19" s="196">
        <f>IF(ISBLANK($E19),"",IFERROR(VLOOKUP(E19,'G1'!$E$6:$P$203,12,0),IFERROR(VLOOKUP(E19,'G2'!$E$6:$P$208,12,0),VLOOKUP(E19,'G3'!$E$6:$P$199,12,0))))</f>
        <v>29.51</v>
      </c>
      <c r="S19" s="198" t="str">
        <f t="shared" si="0"/>
        <v>ok</v>
      </c>
    </row>
    <row r="20" spans="2:19" s="197" customFormat="1" ht="27.75" customHeight="1">
      <c r="B20" s="188">
        <f t="shared" si="1"/>
        <v>15</v>
      </c>
      <c r="C20" s="189">
        <f>IF(ISBLANK($E20),"",VLOOKUP($E20,Teilnehmer!$B$4:$K$199,2,0))</f>
        <v>1</v>
      </c>
      <c r="D20" s="190">
        <f>IF(ISBLANK($E20),"",VLOOKUP($E20,Teilnehmer!$B$4:$K$199,3,0))</f>
        <v>5</v>
      </c>
      <c r="E20" s="191">
        <v>54</v>
      </c>
      <c r="F20" s="181" t="str">
        <f>IF(ISBLANK($E20),"",VLOOKUP($E20,Teilnehmer!$B$4:$K$199,4,0))</f>
        <v>Scheidhammer Alois</v>
      </c>
      <c r="G20" s="286">
        <f>IF(ISBLANK($E20),"",VLOOKUP($E20,Teilnehmer!$B$4:$K$199,5,0))</f>
        <v>15610</v>
      </c>
      <c r="H20" s="287" t="str">
        <f>IF(ISBLANK($E20),"",VLOOKUP($E20,Teilnehmer!$B$4:$K$199,6,0))</f>
        <v>MSC Emmersdorf</v>
      </c>
      <c r="I20" s="181" t="str">
        <f>IF(ISBLANK($E20),"",VLOOKUP($E20,Teilnehmer!$B$4:$K$199,7,0))</f>
        <v>Regner August</v>
      </c>
      <c r="J20" s="286">
        <f>IF(ISBLANK($E20),"",VLOOKUP($E20,Teilnehmer!$B$4:$K$199,8,0))</f>
        <v>15609</v>
      </c>
      <c r="K20" s="287" t="str">
        <f>IF(ISBLANK($E20),"",VLOOKUP($E20,Teilnehmer!$B$4:$K$199,9,0))</f>
        <v>MSC Emmersdorf</v>
      </c>
      <c r="L20" s="315" t="str">
        <f>IF(ISBLANK($E20),"",VLOOKUP($E20,Teilnehmer!$B$4:$K$199,10,0))</f>
        <v>Nissan Z350</v>
      </c>
      <c r="M20" s="317">
        <f>IF(ISBLANK($E20),"",IFERROR(VLOOKUP(E20,'G1'!$E$6:$P$203,9,0),IFERROR(VLOOKUP(E20,'G2'!$E$6:$P$208,9,0),VLOOKUP(E20,'G3'!$E$6:$P$199,9,0))))</f>
        <v>1.9828472222222282E-2</v>
      </c>
      <c r="N20" s="193"/>
      <c r="O20" s="194">
        <f>IF(ISBLANK($E20),"",IFERROR(VLOOKUP(E20,'G1'!$E$6:$P$203,10,0),IFERROR(VLOOKUP(E20,'G2'!$E$6:$P$208,10,0),VLOOKUP(E20,'G3'!$E$6:$P$199,10,0))))</f>
        <v>23</v>
      </c>
      <c r="P20" s="195">
        <f>IF(ISBLANK($E20),"",IFERROR(VLOOKUP(E20,'G1'!$E$6:$P$203,11,0),IFERROR(VLOOKUP(E20,'G2'!$E$6:$P$208,11,0),VLOOKUP(E20,'G3'!$E$6:$P$199,11,0))))</f>
        <v>10</v>
      </c>
      <c r="Q20" s="196">
        <f>IF(ISBLANK($E20),"",IFERROR(VLOOKUP(E20,'G1'!$E$6:$P$203,12,0),IFERROR(VLOOKUP(E20,'G2'!$E$6:$P$208,12,0),VLOOKUP(E20,'G3'!$E$6:$P$199,12,0))))</f>
        <v>33</v>
      </c>
      <c r="S20" s="198" t="str">
        <f t="shared" si="0"/>
        <v>ok</v>
      </c>
    </row>
    <row r="21" spans="2:19" s="197" customFormat="1" ht="27.75" customHeight="1">
      <c r="B21" s="188">
        <f t="shared" si="1"/>
        <v>16</v>
      </c>
      <c r="C21" s="189">
        <f>IF(ISBLANK($E21),"",VLOOKUP($E21,Teilnehmer!$B$4:$K$199,2,0))</f>
        <v>2</v>
      </c>
      <c r="D21" s="190">
        <f>IF(ISBLANK($E21),"",VLOOKUP($E21,Teilnehmer!$B$4:$K$199,3,0))</f>
        <v>9</v>
      </c>
      <c r="E21" s="191">
        <v>25</v>
      </c>
      <c r="F21" s="181" t="str">
        <f>IF(ISBLANK($E21),"",VLOOKUP($E21,Teilnehmer!$B$4:$K$199,4,0))</f>
        <v>Wünsch Oliver</v>
      </c>
      <c r="G21" s="286">
        <f>IF(ISBLANK($E21),"",VLOOKUP($E21,Teilnehmer!$B$4:$K$199,5,0))</f>
        <v>15506</v>
      </c>
      <c r="H21" s="287" t="str">
        <f>IF(ISBLANK($E21),"",VLOOKUP($E21,Teilnehmer!$B$4:$K$199,6,0))</f>
        <v>Scuderia Offenbach / Orange Motorsport</v>
      </c>
      <c r="I21" s="181" t="str">
        <f>IF(ISBLANK($E21),"",VLOOKUP($E21,Teilnehmer!$B$4:$K$199,7,0))</f>
        <v>Manger Moritz</v>
      </c>
      <c r="J21" s="286" t="str">
        <f>IF(ISBLANK($E21),"",VLOOKUP($E21,Teilnehmer!$B$4:$K$199,8,0))</f>
        <v>-</v>
      </c>
      <c r="K21" s="287" t="str">
        <f>IF(ISBLANK($E21),"",VLOOKUP($E21,Teilnehmer!$B$4:$K$199,9,0))</f>
        <v>Scuderia Offenbach</v>
      </c>
      <c r="L21" s="315" t="str">
        <f>IF(ISBLANK($E21),"",VLOOKUP($E21,Teilnehmer!$B$4:$K$199,10,0))</f>
        <v>VW Golf II GTI 16V</v>
      </c>
      <c r="M21" s="317">
        <f>IF(ISBLANK($E21),"",IFERROR(VLOOKUP(E21,'G1'!$E$6:$P$203,9,0),IFERROR(VLOOKUP(E21,'G2'!$E$6:$P$208,9,0),VLOOKUP(E21,'G3'!$E$6:$P$199,9,0))))</f>
        <v>1.9936805555555825E-2</v>
      </c>
      <c r="N21" s="193"/>
      <c r="O21" s="194">
        <f>IF(ISBLANK($E21),"",IFERROR(VLOOKUP(E21,'G1'!$E$6:$P$203,10,0),IFERROR(VLOOKUP(E21,'G2'!$E$6:$P$208,10,0),VLOOKUP(E21,'G3'!$E$6:$P$199,10,0))))</f>
        <v>19</v>
      </c>
      <c r="P21" s="195">
        <f>IF(ISBLANK($E21),"",IFERROR(VLOOKUP(E21,'G1'!$E$6:$P$203,11,0),IFERROR(VLOOKUP(E21,'G2'!$E$6:$P$208,11,0),VLOOKUP(E21,'G3'!$E$6:$P$199,11,0))))</f>
        <v>8.1</v>
      </c>
      <c r="Q21" s="196">
        <f>IF(ISBLANK($E21),"",IFERROR(VLOOKUP(E21,'G1'!$E$6:$P$203,12,0),IFERROR(VLOOKUP(E21,'G2'!$E$6:$P$208,12,0),VLOOKUP(E21,'G3'!$E$6:$P$199,12,0))))</f>
        <v>27.1</v>
      </c>
      <c r="S21" s="198" t="str">
        <f t="shared" si="0"/>
        <v>ok</v>
      </c>
    </row>
    <row r="22" spans="2:19" s="197" customFormat="1" ht="27.75" customHeight="1">
      <c r="B22" s="188">
        <f t="shared" si="1"/>
        <v>17</v>
      </c>
      <c r="C22" s="189">
        <f>IF(ISBLANK($E22),"",VLOOKUP($E22,Teilnehmer!$B$4:$K$199,2,0))</f>
        <v>1</v>
      </c>
      <c r="D22" s="190">
        <f>IF(ISBLANK($E22),"",VLOOKUP($E22,Teilnehmer!$B$4:$K$199,3,0))</f>
        <v>5</v>
      </c>
      <c r="E22" s="191">
        <v>55</v>
      </c>
      <c r="F22" s="181" t="str">
        <f>IF(ISBLANK($E22),"",VLOOKUP($E22,Teilnehmer!$B$4:$K$199,4,0))</f>
        <v>Biendl Willibald</v>
      </c>
      <c r="G22" s="286">
        <f>IF(ISBLANK($E22),"",VLOOKUP($E22,Teilnehmer!$B$4:$K$199,5,0))</f>
        <v>14763</v>
      </c>
      <c r="H22" s="287" t="str">
        <f>IF(ISBLANK($E22),"",VLOOKUP($E22,Teilnehmer!$B$4:$K$199,6,0))</f>
        <v>MSC Mamming</v>
      </c>
      <c r="I22" s="181" t="str">
        <f>IF(ISBLANK($E22),"",VLOOKUP($E22,Teilnehmer!$B$4:$K$199,7,0))</f>
        <v>Schwaiger Viktoria</v>
      </c>
      <c r="J22" s="286">
        <f>IF(ISBLANK($E22),"",VLOOKUP($E22,Teilnehmer!$B$4:$K$199,8,0))</f>
        <v>16168</v>
      </c>
      <c r="K22" s="287" t="str">
        <f>IF(ISBLANK($E22),"",VLOOKUP($E22,Teilnehmer!$B$4:$K$199,9,0))</f>
        <v>SCC Grünthal</v>
      </c>
      <c r="L22" s="315" t="str">
        <f>IF(ISBLANK($E22),"",VLOOKUP($E22,Teilnehmer!$B$4:$K$199,10,0))</f>
        <v>BMW 323ti</v>
      </c>
      <c r="M22" s="317">
        <f>IF(ISBLANK($E22),"",IFERROR(VLOOKUP(E22,'G1'!$E$6:$P$203,9,0),IFERROR(VLOOKUP(E22,'G2'!$E$6:$P$208,9,0),VLOOKUP(E22,'G3'!$E$6:$P$199,9,0))))</f>
        <v>2.0067476851851673E-2</v>
      </c>
      <c r="N22" s="193"/>
      <c r="O22" s="194">
        <f>IF(ISBLANK($E22),"",IFERROR(VLOOKUP(E22,'G1'!$E$6:$P$203,10,0),IFERROR(VLOOKUP(E22,'G2'!$E$6:$P$208,10,0),VLOOKUP(E22,'G3'!$E$6:$P$199,10,0))))</f>
        <v>19.670000000000002</v>
      </c>
      <c r="P22" s="195">
        <f>IF(ISBLANK($E22),"",IFERROR(VLOOKUP(E22,'G1'!$E$6:$P$203,11,0),IFERROR(VLOOKUP(E22,'G2'!$E$6:$P$208,11,0),VLOOKUP(E22,'G3'!$E$6:$P$199,11,0))))</f>
        <v>9.41</v>
      </c>
      <c r="Q22" s="196">
        <f>IF(ISBLANK($E22),"",IFERROR(VLOOKUP(E22,'G1'!$E$6:$P$203,12,0),IFERROR(VLOOKUP(E22,'G2'!$E$6:$P$208,12,0),VLOOKUP(E22,'G3'!$E$6:$P$199,12,0))))</f>
        <v>29.08</v>
      </c>
      <c r="S22" s="198" t="str">
        <f t="shared" si="0"/>
        <v>ok</v>
      </c>
    </row>
    <row r="23" spans="2:19" s="197" customFormat="1" ht="27.75" customHeight="1">
      <c r="B23" s="188">
        <f t="shared" si="1"/>
        <v>18</v>
      </c>
      <c r="C23" s="189">
        <f>IF(ISBLANK($E23),"",VLOOKUP($E23,Teilnehmer!$B$4:$K$199,2,0))</f>
        <v>3</v>
      </c>
      <c r="D23" s="190">
        <f>IF(ISBLANK($E23),"",VLOOKUP($E23,Teilnehmer!$B$4:$K$199,3,0))</f>
        <v>11</v>
      </c>
      <c r="E23" s="191">
        <v>6</v>
      </c>
      <c r="F23" s="181" t="str">
        <f>IF(ISBLANK($E23),"",VLOOKUP($E23,Teilnehmer!$B$4:$K$199,4,0))</f>
        <v>Honke Reinhard</v>
      </c>
      <c r="G23" s="286" t="str">
        <f>IF(ISBLANK($E23),"",VLOOKUP($E23,Teilnehmer!$B$4:$K$199,5,0))</f>
        <v>-</v>
      </c>
      <c r="H23" s="287" t="str">
        <f>IF(ISBLANK($E23),"",VLOOKUP($E23,Teilnehmer!$B$4:$K$199,6,0))</f>
        <v>AC Bayreuth</v>
      </c>
      <c r="I23" s="181" t="str">
        <f>IF(ISBLANK($E23),"",VLOOKUP($E23,Teilnehmer!$B$4:$K$199,7,0))</f>
        <v>Heinze Michael</v>
      </c>
      <c r="J23" s="286" t="str">
        <f>IF(ISBLANK($E23),"",VLOOKUP($E23,Teilnehmer!$B$4:$K$199,8,0))</f>
        <v>-</v>
      </c>
      <c r="K23" s="287" t="str">
        <f>IF(ISBLANK($E23),"",VLOOKUP($E23,Teilnehmer!$B$4:$K$199,9,0))</f>
        <v>MSC Fränkische Schweiz</v>
      </c>
      <c r="L23" s="315" t="str">
        <f>IF(ISBLANK($E23),"",VLOOKUP($E23,Teilnehmer!$B$4:$K$199,10,0))</f>
        <v>Mitsubishi Lancer Evo 10</v>
      </c>
      <c r="M23" s="317">
        <f>IF(ISBLANK($E23),"",IFERROR(VLOOKUP(E23,'G1'!$E$6:$P$203,9,0),IFERROR(VLOOKUP(E23,'G2'!$E$6:$P$208,9,0),VLOOKUP(E23,'G3'!$E$6:$P$199,9,0))))</f>
        <v>2.0084374999999932E-2</v>
      </c>
      <c r="N23" s="193"/>
      <c r="O23" s="194">
        <f>IF(ISBLANK($E23),"",IFERROR(VLOOKUP(E23,'G1'!$E$6:$P$203,10,0),IFERROR(VLOOKUP(E23,'G2'!$E$6:$P$208,10,0),VLOOKUP(E23,'G3'!$E$6:$P$199,10,0))))</f>
        <v>12.09</v>
      </c>
      <c r="P23" s="195">
        <f>IF(ISBLANK($E23),"",IFERROR(VLOOKUP(E23,'G1'!$E$6:$P$203,11,0),IFERROR(VLOOKUP(E23,'G2'!$E$6:$P$208,11,0),VLOOKUP(E23,'G3'!$E$6:$P$199,11,0))))</f>
        <v>4.55</v>
      </c>
      <c r="Q23" s="196">
        <f>IF(ISBLANK($E23),"",IFERROR(VLOOKUP(E23,'G1'!$E$6:$P$203,12,0),IFERROR(VLOOKUP(E23,'G2'!$E$6:$P$208,12,0),VLOOKUP(E23,'G3'!$E$6:$P$199,12,0))))</f>
        <v>16.64</v>
      </c>
      <c r="S23" s="198" t="str">
        <f t="shared" si="0"/>
        <v>ok</v>
      </c>
    </row>
    <row r="24" spans="2:19" s="197" customFormat="1" ht="27.75" customHeight="1">
      <c r="B24" s="188">
        <f t="shared" si="1"/>
        <v>19</v>
      </c>
      <c r="C24" s="189">
        <f>IF(ISBLANK($E24),"",VLOOKUP($E24,Teilnehmer!$B$4:$K$199,2,0))</f>
        <v>2</v>
      </c>
      <c r="D24" s="190">
        <f>IF(ISBLANK($E24),"",VLOOKUP($E24,Teilnehmer!$B$4:$K$199,3,0))</f>
        <v>9</v>
      </c>
      <c r="E24" s="191">
        <v>34</v>
      </c>
      <c r="F24" s="181" t="str">
        <f>IF(ISBLANK($E24),"",VLOOKUP($E24,Teilnehmer!$B$4:$K$199,4,0))</f>
        <v>Kohler Erhard</v>
      </c>
      <c r="G24" s="286" t="str">
        <f>IF(ISBLANK($E24),"",VLOOKUP($E24,Teilnehmer!$B$4:$K$199,5,0))</f>
        <v>-</v>
      </c>
      <c r="H24" s="287" t="str">
        <f>IF(ISBLANK($E24),"",VLOOKUP($E24,Teilnehmer!$B$4:$K$199,6,0))</f>
        <v>RC Pommes</v>
      </c>
      <c r="I24" s="181" t="str">
        <f>IF(ISBLANK($E24),"",VLOOKUP($E24,Teilnehmer!$B$4:$K$199,7,0))</f>
        <v>Kohler Maren</v>
      </c>
      <c r="J24" s="286" t="str">
        <f>IF(ISBLANK($E24),"",VLOOKUP($E24,Teilnehmer!$B$4:$K$199,8,0))</f>
        <v>-</v>
      </c>
      <c r="K24" s="287" t="str">
        <f>IF(ISBLANK($E24),"",VLOOKUP($E24,Teilnehmer!$B$4:$K$199,9,0))</f>
        <v>RC Pommes</v>
      </c>
      <c r="L24" s="315" t="str">
        <f>IF(ISBLANK($E24),"",VLOOKUP($E24,Teilnehmer!$B$4:$K$199,10,0))</f>
        <v>BMW E30 318is</v>
      </c>
      <c r="M24" s="317">
        <f>IF(ISBLANK($E24),"",IFERROR(VLOOKUP(E24,'G1'!$E$6:$P$203,9,0),IFERROR(VLOOKUP(E24,'G2'!$E$6:$P$208,9,0),VLOOKUP(E24,'G3'!$E$6:$P$199,9,0))))</f>
        <v>2.0115972222222171E-2</v>
      </c>
      <c r="N24" s="193"/>
      <c r="O24" s="194">
        <f>IF(ISBLANK($E24),"",IFERROR(VLOOKUP(E24,'G1'!$E$6:$P$203,10,0),IFERROR(VLOOKUP(E24,'G2'!$E$6:$P$208,10,0),VLOOKUP(E24,'G3'!$E$6:$P$199,10,0))))</f>
        <v>18</v>
      </c>
      <c r="P24" s="195">
        <f>IF(ISBLANK($E24),"",IFERROR(VLOOKUP(E24,'G1'!$E$6:$P$203,11,0),IFERROR(VLOOKUP(E24,'G2'!$E$6:$P$208,11,0),VLOOKUP(E24,'G3'!$E$6:$P$199,11,0))))</f>
        <v>7.86</v>
      </c>
      <c r="Q24" s="196">
        <f>IF(ISBLANK($E24),"",IFERROR(VLOOKUP(E24,'G1'!$E$6:$P$203,12,0),IFERROR(VLOOKUP(E24,'G2'!$E$6:$P$208,12,0),VLOOKUP(E24,'G3'!$E$6:$P$199,12,0))))</f>
        <v>25.86</v>
      </c>
      <c r="S24" s="198" t="str">
        <f t="shared" si="0"/>
        <v>ok</v>
      </c>
    </row>
    <row r="25" spans="2:19" s="197" customFormat="1" ht="27.75" customHeight="1">
      <c r="B25" s="188">
        <f t="shared" si="1"/>
        <v>20</v>
      </c>
      <c r="C25" s="189">
        <f>IF(ISBLANK($E25),"",VLOOKUP($E25,Teilnehmer!$B$4:$K$199,2,0))</f>
        <v>2</v>
      </c>
      <c r="D25" s="190">
        <f>IF(ISBLANK($E25),"",VLOOKUP($E25,Teilnehmer!$B$4:$K$199,3,0))</f>
        <v>7</v>
      </c>
      <c r="E25" s="191">
        <v>51</v>
      </c>
      <c r="F25" s="181" t="str">
        <f>IF(ISBLANK($E25),"",VLOOKUP($E25,Teilnehmer!$B$4:$K$199,4,0))</f>
        <v>Schützmeier Stefan</v>
      </c>
      <c r="G25" s="286">
        <f>IF(ISBLANK($E25),"",VLOOKUP($E25,Teilnehmer!$B$4:$K$199,5,0))</f>
        <v>16634</v>
      </c>
      <c r="H25" s="287" t="str">
        <f>IF(ISBLANK($E25),"",VLOOKUP($E25,Teilnehmer!$B$4:$K$199,6,0))</f>
        <v>Becker &amp; Bosch Racing Team</v>
      </c>
      <c r="I25" s="181" t="str">
        <f>IF(ISBLANK($E25),"",VLOOKUP($E25,Teilnehmer!$B$4:$K$199,7,0))</f>
        <v>Ritter Susann</v>
      </c>
      <c r="J25" s="286">
        <f>IF(ISBLANK($E25),"",VLOOKUP($E25,Teilnehmer!$B$4:$K$199,8,0))</f>
        <v>16724</v>
      </c>
      <c r="K25" s="287" t="str">
        <f>IF(ISBLANK($E25),"",VLOOKUP($E25,Teilnehmer!$B$4:$K$199,9,0))</f>
        <v>Becker &amp; Bosch Racing Team</v>
      </c>
      <c r="L25" s="315" t="str">
        <f>IF(ISBLANK($E25),"",VLOOKUP($E25,Teilnehmer!$B$4:$K$199,10,0))</f>
        <v>Suzuki Swift GTi</v>
      </c>
      <c r="M25" s="317">
        <f>IF(ISBLANK($E25),"",IFERROR(VLOOKUP(E25,'G1'!$E$6:$P$203,9,0),IFERROR(VLOOKUP(E25,'G2'!$E$6:$P$208,9,0),VLOOKUP(E25,'G3'!$E$6:$P$199,9,0))))</f>
        <v>2.0152777777777908E-2</v>
      </c>
      <c r="N25" s="193"/>
      <c r="O25" s="194">
        <f>IF(ISBLANK($E25),"",IFERROR(VLOOKUP(E25,'G1'!$E$6:$P$203,10,0),IFERROR(VLOOKUP(E25,'G2'!$E$6:$P$208,10,0),VLOOKUP(E25,'G3'!$E$6:$P$199,10,0))))</f>
        <v>23</v>
      </c>
      <c r="P25" s="195">
        <f>IF(ISBLANK($E25),"",IFERROR(VLOOKUP(E25,'G1'!$E$6:$P$203,11,0),IFERROR(VLOOKUP(E25,'G2'!$E$6:$P$208,11,0),VLOOKUP(E25,'G3'!$E$6:$P$199,11,0))))</f>
        <v>7.62</v>
      </c>
      <c r="Q25" s="196">
        <f>IF(ISBLANK($E25),"",IFERROR(VLOOKUP(E25,'G1'!$E$6:$P$203,12,0),IFERROR(VLOOKUP(E25,'G2'!$E$6:$P$208,12,0),VLOOKUP(E25,'G3'!$E$6:$P$199,12,0))))</f>
        <v>30.62</v>
      </c>
      <c r="S25" s="198" t="str">
        <f t="shared" si="0"/>
        <v>ok</v>
      </c>
    </row>
    <row r="26" spans="2:19" s="197" customFormat="1" ht="27.75" customHeight="1">
      <c r="B26" s="188">
        <f t="shared" si="1"/>
        <v>21</v>
      </c>
      <c r="C26" s="189">
        <f>IF(ISBLANK($E26),"",VLOOKUP($E26,Teilnehmer!$B$4:$K$199,2,0))</f>
        <v>2</v>
      </c>
      <c r="D26" s="190">
        <f>IF(ISBLANK($E26),"",VLOOKUP($E26,Teilnehmer!$B$4:$K$199,3,0))</f>
        <v>8</v>
      </c>
      <c r="E26" s="191">
        <v>48</v>
      </c>
      <c r="F26" s="181" t="str">
        <f>IF(ISBLANK($E26),"",VLOOKUP($E26,Teilnehmer!$B$4:$K$199,4,0))</f>
        <v>Griesdorn Sebastian</v>
      </c>
      <c r="G26" s="286">
        <f>IF(ISBLANK($E26),"",VLOOKUP($E26,Teilnehmer!$B$4:$K$199,5,0))</f>
        <v>15626</v>
      </c>
      <c r="H26" s="287" t="str">
        <f>IF(ISBLANK($E26),"",VLOOKUP($E26,Teilnehmer!$B$4:$K$199,6,0))</f>
        <v>BG Rallyesport</v>
      </c>
      <c r="I26" s="181" t="str">
        <f>IF(ISBLANK($E26),"",VLOOKUP($E26,Teilnehmer!$B$4:$K$199,7,0))</f>
        <v>Bitsch Marco</v>
      </c>
      <c r="J26" s="286">
        <f>IF(ISBLANK($E26),"",VLOOKUP($E26,Teilnehmer!$B$4:$K$199,8,0))</f>
        <v>16561</v>
      </c>
      <c r="K26" s="287" t="str">
        <f>IF(ISBLANK($E26),"",VLOOKUP($E26,Teilnehmer!$B$4:$K$199,9,0))</f>
        <v>BG Rallyesport</v>
      </c>
      <c r="L26" s="315" t="str">
        <f>IF(ISBLANK($E26),"",VLOOKUP($E26,Teilnehmer!$B$4:$K$199,10,0))</f>
        <v>Honda Civic</v>
      </c>
      <c r="M26" s="317">
        <f>IF(ISBLANK($E26),"",IFERROR(VLOOKUP(E26,'G1'!$E$6:$P$203,9,0),IFERROR(VLOOKUP(E26,'G2'!$E$6:$P$208,9,0),VLOOKUP(E26,'G3'!$E$6:$P$199,9,0))))</f>
        <v>2.0502083333333254E-2</v>
      </c>
      <c r="N26" s="193"/>
      <c r="O26" s="194">
        <f>IF(ISBLANK($E26),"",IFERROR(VLOOKUP(E26,'G1'!$E$6:$P$203,10,0),IFERROR(VLOOKUP(E26,'G2'!$E$6:$P$208,10,0),VLOOKUP(E26,'G3'!$E$6:$P$199,10,0))))</f>
        <v>19.36</v>
      </c>
      <c r="P26" s="195">
        <f>IF(ISBLANK($E26),"",IFERROR(VLOOKUP(E26,'G1'!$E$6:$P$203,11,0),IFERROR(VLOOKUP(E26,'G2'!$E$6:$P$208,11,0),VLOOKUP(E26,'G3'!$E$6:$P$199,11,0))))</f>
        <v>7.38</v>
      </c>
      <c r="Q26" s="196">
        <f>IF(ISBLANK($E26),"",IFERROR(VLOOKUP(E26,'G1'!$E$6:$P$203,12,0),IFERROR(VLOOKUP(E26,'G2'!$E$6:$P$208,12,0),VLOOKUP(E26,'G3'!$E$6:$P$199,12,0))))</f>
        <v>26.74</v>
      </c>
      <c r="S26" s="198" t="str">
        <f t="shared" si="0"/>
        <v>ok</v>
      </c>
    </row>
    <row r="27" spans="2:19" s="197" customFormat="1" ht="27.75" customHeight="1">
      <c r="B27" s="188">
        <f t="shared" si="1"/>
        <v>22</v>
      </c>
      <c r="C27" s="189">
        <f>IF(ISBLANK($E27),"",VLOOKUP($E27,Teilnehmer!$B$4:$K$199,2,0))</f>
        <v>2</v>
      </c>
      <c r="D27" s="190">
        <f>IF(ISBLANK($E27),"",VLOOKUP($E27,Teilnehmer!$B$4:$K$199,3,0))</f>
        <v>9</v>
      </c>
      <c r="E27" s="191">
        <v>31</v>
      </c>
      <c r="F27" s="181" t="str">
        <f>IF(ISBLANK($E27),"",VLOOKUP($E27,Teilnehmer!$B$4:$K$199,4,0))</f>
        <v>Jäger Dirk</v>
      </c>
      <c r="G27" s="286" t="str">
        <f>IF(ISBLANK($E27),"",VLOOKUP($E27,Teilnehmer!$B$4:$K$199,5,0))</f>
        <v>-</v>
      </c>
      <c r="H27" s="287" t="str">
        <f>IF(ISBLANK($E27),"",VLOOKUP($E27,Teilnehmer!$B$4:$K$199,6,0))</f>
        <v>MSC Kitzbühel</v>
      </c>
      <c r="I27" s="181" t="str">
        <f>IF(ISBLANK($E27),"",VLOOKUP($E27,Teilnehmer!$B$4:$K$199,7,0))</f>
        <v>Hofmann Angela</v>
      </c>
      <c r="J27" s="286" t="str">
        <f>IF(ISBLANK($E27),"",VLOOKUP($E27,Teilnehmer!$B$4:$K$199,8,0))</f>
        <v>-</v>
      </c>
      <c r="K27" s="287" t="str">
        <f>IF(ISBLANK($E27),"",VLOOKUP($E27,Teilnehmer!$B$4:$K$199,9,0))</f>
        <v>-</v>
      </c>
      <c r="L27" s="315" t="str">
        <f>IF(ISBLANK($E27),"",VLOOKUP($E27,Teilnehmer!$B$4:$K$199,10,0))</f>
        <v>BMW 318is</v>
      </c>
      <c r="M27" s="317">
        <f>IF(ISBLANK($E27),"",IFERROR(VLOOKUP(E27,'G1'!$E$6:$P$203,9,0),IFERROR(VLOOKUP(E27,'G2'!$E$6:$P$208,9,0),VLOOKUP(E27,'G3'!$E$6:$P$199,9,0))))</f>
        <v>2.0592013888888927E-2</v>
      </c>
      <c r="N27" s="193"/>
      <c r="O27" s="194">
        <f>IF(ISBLANK($E27),"",IFERROR(VLOOKUP(E27,'G1'!$E$6:$P$203,10,0),IFERROR(VLOOKUP(E27,'G2'!$E$6:$P$208,10,0),VLOOKUP(E27,'G3'!$E$6:$P$199,10,0))))</f>
        <v>17</v>
      </c>
      <c r="P27" s="195">
        <f>IF(ISBLANK($E27),"",IFERROR(VLOOKUP(E27,'G1'!$E$6:$P$203,11,0),IFERROR(VLOOKUP(E27,'G2'!$E$6:$P$208,11,0),VLOOKUP(E27,'G3'!$E$6:$P$199,11,0))))</f>
        <v>7.14</v>
      </c>
      <c r="Q27" s="196">
        <f>IF(ISBLANK($E27),"",IFERROR(VLOOKUP(E27,'G1'!$E$6:$P$203,12,0),IFERROR(VLOOKUP(E27,'G2'!$E$6:$P$208,12,0),VLOOKUP(E27,'G3'!$E$6:$P$199,12,0))))</f>
        <v>24.14</v>
      </c>
      <c r="S27" s="198" t="str">
        <f t="shared" si="0"/>
        <v>ok</v>
      </c>
    </row>
    <row r="28" spans="2:19" s="197" customFormat="1" ht="27.75" customHeight="1">
      <c r="B28" s="188">
        <f t="shared" si="1"/>
        <v>23</v>
      </c>
      <c r="C28" s="189">
        <f>IF(ISBLANK($E28),"",VLOOKUP($E28,Teilnehmer!$B$4:$K$199,2,0))</f>
        <v>2</v>
      </c>
      <c r="D28" s="190">
        <f>IF(ISBLANK($E28),"",VLOOKUP($E28,Teilnehmer!$B$4:$K$199,3,0))</f>
        <v>8</v>
      </c>
      <c r="E28" s="191">
        <v>47</v>
      </c>
      <c r="F28" s="181" t="str">
        <f>IF(ISBLANK($E28),"",VLOOKUP($E28,Teilnehmer!$B$4:$K$199,4,0))</f>
        <v>Kahler Patrick</v>
      </c>
      <c r="G28" s="286" t="str">
        <f>IF(ISBLANK($E28),"",VLOOKUP($E28,Teilnehmer!$B$4:$K$199,5,0))</f>
        <v>-</v>
      </c>
      <c r="H28" s="287" t="str">
        <f>IF(ISBLANK($E28),"",VLOOKUP($E28,Teilnehmer!$B$4:$K$199,6,0))</f>
        <v>1stTime2nd-Rallyesport</v>
      </c>
      <c r="I28" s="181" t="str">
        <f>IF(ISBLANK($E28),"",VLOOKUP($E28,Teilnehmer!$B$4:$K$199,7,0))</f>
        <v>Schöppach Dominic</v>
      </c>
      <c r="J28" s="286" t="str">
        <f>IF(ISBLANK($E28),"",VLOOKUP($E28,Teilnehmer!$B$4:$K$199,8,0))</f>
        <v>-</v>
      </c>
      <c r="K28" s="287" t="str">
        <f>IF(ISBLANK($E28),"",VLOOKUP($E28,Teilnehmer!$B$4:$K$199,9,0))</f>
        <v>-</v>
      </c>
      <c r="L28" s="315" t="str">
        <f>IF(ISBLANK($E28),"",VLOOKUP($E28,Teilnehmer!$B$4:$K$199,10,0))</f>
        <v>Citroën Saxo VTS</v>
      </c>
      <c r="M28" s="317">
        <f>IF(ISBLANK($E28),"",IFERROR(VLOOKUP(E28,'G1'!$E$6:$P$203,9,0),IFERROR(VLOOKUP(E28,'G2'!$E$6:$P$208,9,0),VLOOKUP(E28,'G3'!$E$6:$P$199,9,0))))</f>
        <v>2.0690162037036997E-2</v>
      </c>
      <c r="N28" s="193"/>
      <c r="O28" s="194">
        <f>IF(ISBLANK($E28),"",IFERROR(VLOOKUP(E28,'G1'!$E$6:$P$203,10,0),IFERROR(VLOOKUP(E28,'G2'!$E$6:$P$208,10,0),VLOOKUP(E28,'G3'!$E$6:$P$199,10,0))))</f>
        <v>17.55</v>
      </c>
      <c r="P28" s="195">
        <f>IF(ISBLANK($E28),"",IFERROR(VLOOKUP(E28,'G1'!$E$6:$P$203,11,0),IFERROR(VLOOKUP(E28,'G2'!$E$6:$P$208,11,0),VLOOKUP(E28,'G3'!$E$6:$P$199,11,0))))</f>
        <v>6.9</v>
      </c>
      <c r="Q28" s="196">
        <f>IF(ISBLANK($E28),"",IFERROR(VLOOKUP(E28,'G1'!$E$6:$P$203,12,0),IFERROR(VLOOKUP(E28,'G2'!$E$6:$P$208,12,0),VLOOKUP(E28,'G3'!$E$6:$P$199,12,0))))</f>
        <v>24.45</v>
      </c>
      <c r="S28" s="198" t="str">
        <f t="shared" si="0"/>
        <v>ok</v>
      </c>
    </row>
    <row r="29" spans="2:19" s="197" customFormat="1" ht="27.75" customHeight="1">
      <c r="B29" s="188">
        <f t="shared" si="1"/>
        <v>24</v>
      </c>
      <c r="C29" s="189">
        <f>IF(ISBLANK($E29),"",VLOOKUP($E29,Teilnehmer!$B$4:$K$199,2,0))</f>
        <v>2</v>
      </c>
      <c r="D29" s="190">
        <f>IF(ISBLANK($E29),"",VLOOKUP($E29,Teilnehmer!$B$4:$K$199,3,0))</f>
        <v>9</v>
      </c>
      <c r="E29" s="191">
        <v>20</v>
      </c>
      <c r="F29" s="181" t="str">
        <f>IF(ISBLANK($E29),"",VLOOKUP($E29,Teilnehmer!$B$4:$K$199,4,0))</f>
        <v>Russ Armin</v>
      </c>
      <c r="G29" s="286">
        <f>IF(ISBLANK($E29),"",VLOOKUP($E29,Teilnehmer!$B$4:$K$199,5,0))</f>
        <v>15958</v>
      </c>
      <c r="H29" s="287" t="str">
        <f>IF(ISBLANK($E29),"",VLOOKUP($E29,Teilnehmer!$B$4:$K$199,6,0))</f>
        <v>MSC Untergröningen / MC Einsingen</v>
      </c>
      <c r="I29" s="181" t="str">
        <f>IF(ISBLANK($E29),"",VLOOKUP($E29,Teilnehmer!$B$4:$K$199,7,0))</f>
        <v>Hess Sarah</v>
      </c>
      <c r="J29" s="286">
        <f>IF(ISBLANK($E29),"",VLOOKUP($E29,Teilnehmer!$B$4:$K$199,8,0))</f>
        <v>16275</v>
      </c>
      <c r="K29" s="287" t="str">
        <f>IF(ISBLANK($E29),"",VLOOKUP($E29,Teilnehmer!$B$4:$K$199,9,0))</f>
        <v>-</v>
      </c>
      <c r="L29" s="315" t="str">
        <f>IF(ISBLANK($E29),"",VLOOKUP($E29,Teilnehmer!$B$4:$K$199,10,0))</f>
        <v>BMW E30 318is</v>
      </c>
      <c r="M29" s="317">
        <f>IF(ISBLANK($E29),"",IFERROR(VLOOKUP(E29,'G1'!$E$6:$P$203,9,0),IFERROR(VLOOKUP(E29,'G2'!$E$6:$P$208,9,0),VLOOKUP(E29,'G3'!$E$6:$P$199,9,0))))</f>
        <v>2.0761689814814743E-2</v>
      </c>
      <c r="N29" s="193"/>
      <c r="O29" s="194">
        <f>IF(ISBLANK($E29),"",IFERROR(VLOOKUP(E29,'G1'!$E$6:$P$203,10,0),IFERROR(VLOOKUP(E29,'G2'!$E$6:$P$208,10,0),VLOOKUP(E29,'G3'!$E$6:$P$199,10,0))))</f>
        <v>16</v>
      </c>
      <c r="P29" s="195">
        <f>IF(ISBLANK($E29),"",IFERROR(VLOOKUP(E29,'G1'!$E$6:$P$203,11,0),IFERROR(VLOOKUP(E29,'G2'!$E$6:$P$208,11,0),VLOOKUP(E29,'G3'!$E$6:$P$199,11,0))))</f>
        <v>6.67</v>
      </c>
      <c r="Q29" s="196">
        <f>IF(ISBLANK($E29),"",IFERROR(VLOOKUP(E29,'G1'!$E$6:$P$203,12,0),IFERROR(VLOOKUP(E29,'G2'!$E$6:$P$208,12,0),VLOOKUP(E29,'G3'!$E$6:$P$199,12,0))))</f>
        <v>22.67</v>
      </c>
      <c r="S29" s="198" t="str">
        <f t="shared" si="0"/>
        <v>ok</v>
      </c>
    </row>
    <row r="30" spans="2:19" s="197" customFormat="1" ht="27.75" customHeight="1">
      <c r="B30" s="188">
        <f t="shared" si="1"/>
        <v>25</v>
      </c>
      <c r="C30" s="189">
        <f>IF(ISBLANK($E30),"",VLOOKUP($E30,Teilnehmer!$B$4:$K$199,2,0))</f>
        <v>2</v>
      </c>
      <c r="D30" s="190">
        <f>IF(ISBLANK($E30),"",VLOOKUP($E30,Teilnehmer!$B$4:$K$199,3,0))</f>
        <v>9</v>
      </c>
      <c r="E30" s="191">
        <v>38</v>
      </c>
      <c r="F30" s="181" t="str">
        <f>IF(ISBLANK($E30),"",VLOOKUP($E30,Teilnehmer!$B$4:$K$199,4,0))</f>
        <v>Müller Moritz</v>
      </c>
      <c r="G30" s="286" t="str">
        <f>IF(ISBLANK($E30),"",VLOOKUP($E30,Teilnehmer!$B$4:$K$199,5,0))</f>
        <v>-</v>
      </c>
      <c r="H30" s="287" t="str">
        <f>IF(ISBLANK($E30),"",VLOOKUP($E30,Teilnehmer!$B$4:$K$199,6,0))</f>
        <v>-</v>
      </c>
      <c r="I30" s="181" t="str">
        <f>IF(ISBLANK($E30),"",VLOOKUP($E30,Teilnehmer!$B$4:$K$199,7,0))</f>
        <v>Müller Lukas</v>
      </c>
      <c r="J30" s="286" t="str">
        <f>IF(ISBLANK($E30),"",VLOOKUP($E30,Teilnehmer!$B$4:$K$199,8,0))</f>
        <v>-</v>
      </c>
      <c r="K30" s="287" t="str">
        <f>IF(ISBLANK($E30),"",VLOOKUP($E30,Teilnehmer!$B$4:$K$199,9,0))</f>
        <v>-</v>
      </c>
      <c r="L30" s="315" t="str">
        <f>IF(ISBLANK($E30),"",VLOOKUP($E30,Teilnehmer!$B$4:$K$199,10,0))</f>
        <v>Honda FN2</v>
      </c>
      <c r="M30" s="317">
        <f>IF(ISBLANK($E30),"",IFERROR(VLOOKUP(E30,'G1'!$E$6:$P$203,9,0),IFERROR(VLOOKUP(E30,'G2'!$E$6:$P$208,9,0),VLOOKUP(E30,'G3'!$E$6:$P$199,9,0))))</f>
        <v>2.0779745370370195E-2</v>
      </c>
      <c r="N30" s="193"/>
      <c r="O30" s="194">
        <f>IF(ISBLANK($E30),"",IFERROR(VLOOKUP(E30,'G1'!$E$6:$P$203,10,0),IFERROR(VLOOKUP(E30,'G2'!$E$6:$P$208,10,0),VLOOKUP(E30,'G3'!$E$6:$P$199,10,0))))</f>
        <v>15</v>
      </c>
      <c r="P30" s="195">
        <f>IF(ISBLANK($E30),"",IFERROR(VLOOKUP(E30,'G1'!$E$6:$P$203,11,0),IFERROR(VLOOKUP(E30,'G2'!$E$6:$P$208,11,0),VLOOKUP(E30,'G3'!$E$6:$P$199,11,0))))</f>
        <v>6.43</v>
      </c>
      <c r="Q30" s="196">
        <f>IF(ISBLANK($E30),"",IFERROR(VLOOKUP(E30,'G1'!$E$6:$P$203,12,0),IFERROR(VLOOKUP(E30,'G2'!$E$6:$P$208,12,0),VLOOKUP(E30,'G3'!$E$6:$P$199,12,0))))</f>
        <v>21.43</v>
      </c>
      <c r="S30" s="198" t="str">
        <f t="shared" si="0"/>
        <v>ok</v>
      </c>
    </row>
    <row r="31" spans="2:19" s="197" customFormat="1" ht="27.75" customHeight="1">
      <c r="B31" s="188">
        <f t="shared" si="1"/>
        <v>26</v>
      </c>
      <c r="C31" s="189">
        <f>IF(ISBLANK($E31),"",VLOOKUP($E31,Teilnehmer!$B$4:$K$199,2,0))</f>
        <v>2</v>
      </c>
      <c r="D31" s="190">
        <f>IF(ISBLANK($E31),"",VLOOKUP($E31,Teilnehmer!$B$4:$K$199,3,0))</f>
        <v>8</v>
      </c>
      <c r="E31" s="191">
        <v>40</v>
      </c>
      <c r="F31" s="181" t="str">
        <f>IF(ISBLANK($E31),"",VLOOKUP($E31,Teilnehmer!$B$4:$K$199,4,0))</f>
        <v>Preis Gerhard</v>
      </c>
      <c r="G31" s="286">
        <f>IF(ISBLANK($E31),"",VLOOKUP($E31,Teilnehmer!$B$4:$K$199,5,0))</f>
        <v>15058</v>
      </c>
      <c r="H31" s="287" t="str">
        <f>IF(ISBLANK($E31),"",VLOOKUP($E31,Teilnehmer!$B$4:$K$199,6,0))</f>
        <v>-</v>
      </c>
      <c r="I31" s="181" t="str">
        <f>IF(ISBLANK($E31),"",VLOOKUP($E31,Teilnehmer!$B$4:$K$199,7,0))</f>
        <v>Zellner Samuel</v>
      </c>
      <c r="J31" s="286">
        <f>IF(ISBLANK($E31),"",VLOOKUP($E31,Teilnehmer!$B$4:$K$199,8,0))</f>
        <v>16716</v>
      </c>
      <c r="K31" s="287" t="str">
        <f>IF(ISBLANK($E31),"",VLOOKUP($E31,Teilnehmer!$B$4:$K$199,9,0))</f>
        <v>-</v>
      </c>
      <c r="L31" s="315" t="str">
        <f>IF(ISBLANK($E31),"",VLOOKUP($E31,Teilnehmer!$B$4:$K$199,10,0))</f>
        <v>VW Polo GTI</v>
      </c>
      <c r="M31" s="317">
        <f>IF(ISBLANK($E31),"",IFERROR(VLOOKUP(E31,'G1'!$E$6:$P$203,9,0),IFERROR(VLOOKUP(E31,'G2'!$E$6:$P$208,9,0),VLOOKUP(E31,'G3'!$E$6:$P$199,9,0))))</f>
        <v>2.0850462962962946E-2</v>
      </c>
      <c r="N31" s="193"/>
      <c r="O31" s="194">
        <f>IF(ISBLANK($E31),"",IFERROR(VLOOKUP(E31,'G1'!$E$6:$P$203,10,0),IFERROR(VLOOKUP(E31,'G2'!$E$6:$P$208,10,0),VLOOKUP(E31,'G3'!$E$6:$P$199,10,0))))</f>
        <v>15.73</v>
      </c>
      <c r="P31" s="195">
        <f>IF(ISBLANK($E31),"",IFERROR(VLOOKUP(E31,'G1'!$E$6:$P$203,11,0),IFERROR(VLOOKUP(E31,'G2'!$E$6:$P$208,11,0),VLOOKUP(E31,'G3'!$E$6:$P$199,11,0))))</f>
        <v>6.19</v>
      </c>
      <c r="Q31" s="196">
        <f>IF(ISBLANK($E31),"",IFERROR(VLOOKUP(E31,'G1'!$E$6:$P$203,12,0),IFERROR(VLOOKUP(E31,'G2'!$E$6:$P$208,12,0),VLOOKUP(E31,'G3'!$E$6:$P$199,12,0))))</f>
        <v>21.92</v>
      </c>
      <c r="S31" s="198" t="str">
        <f t="shared" si="0"/>
        <v>ok</v>
      </c>
    </row>
    <row r="32" spans="2:19" s="197" customFormat="1" ht="27.75" customHeight="1">
      <c r="B32" s="188">
        <f t="shared" si="1"/>
        <v>27</v>
      </c>
      <c r="C32" s="189">
        <f>IF(ISBLANK($E32),"",VLOOKUP($E32,Teilnehmer!$B$4:$K$199,2,0))</f>
        <v>1</v>
      </c>
      <c r="D32" s="190">
        <f>IF(ISBLANK($E32),"",VLOOKUP($E32,Teilnehmer!$B$4:$K$199,3,0))</f>
        <v>4</v>
      </c>
      <c r="E32" s="191">
        <v>70</v>
      </c>
      <c r="F32" s="181" t="str">
        <f>IF(ISBLANK($E32),"",VLOOKUP($E32,Teilnehmer!$B$4:$K$199,4,0))</f>
        <v>Schuhmacher Helmut</v>
      </c>
      <c r="G32" s="286" t="str">
        <f>IF(ISBLANK($E32),"",VLOOKUP($E32,Teilnehmer!$B$4:$K$199,5,0))</f>
        <v>-</v>
      </c>
      <c r="H32" s="287" t="str">
        <f>IF(ISBLANK($E32),"",VLOOKUP($E32,Teilnehmer!$B$4:$K$199,6,0))</f>
        <v>ADAC OC Schwäbisch Hall</v>
      </c>
      <c r="I32" s="181" t="str">
        <f>IF(ISBLANK($E32),"",VLOOKUP($E32,Teilnehmer!$B$4:$K$199,7,0))</f>
        <v>Schuhmacher Marcel</v>
      </c>
      <c r="J32" s="286" t="str">
        <f>IF(ISBLANK($E32),"",VLOOKUP($E32,Teilnehmer!$B$4:$K$199,8,0))</f>
        <v>-</v>
      </c>
      <c r="K32" s="287" t="str">
        <f>IF(ISBLANK($E32),"",VLOOKUP($E32,Teilnehmer!$B$4:$K$199,9,0))</f>
        <v>ADAC OC Schwäbisch Hall</v>
      </c>
      <c r="L32" s="315" t="str">
        <f>IF(ISBLANK($E32),"",VLOOKUP($E32,Teilnehmer!$B$4:$K$199,10,0))</f>
        <v>BMW E36 318is</v>
      </c>
      <c r="M32" s="317">
        <f>IF(ISBLANK($E32),"",IFERROR(VLOOKUP(E32,'G1'!$E$6:$P$203,9,0),IFERROR(VLOOKUP(E32,'G2'!$E$6:$P$208,9,0),VLOOKUP(E32,'G3'!$E$6:$P$199,9,0))))</f>
        <v>2.1025462962963148E-2</v>
      </c>
      <c r="N32" s="193"/>
      <c r="O32" s="194">
        <f>IF(ISBLANK($E32),"",IFERROR(VLOOKUP(E32,'G1'!$E$6:$P$203,10,0),IFERROR(VLOOKUP(E32,'G2'!$E$6:$P$208,10,0),VLOOKUP(E32,'G3'!$E$6:$P$199,10,0))))</f>
        <v>23</v>
      </c>
      <c r="P32" s="195">
        <f>IF(ISBLANK($E32),"",IFERROR(VLOOKUP(E32,'G1'!$E$6:$P$203,11,0),IFERROR(VLOOKUP(E32,'G2'!$E$6:$P$208,11,0),VLOOKUP(E32,'G3'!$E$6:$P$199,11,0))))</f>
        <v>8.82</v>
      </c>
      <c r="Q32" s="196">
        <f>IF(ISBLANK($E32),"",IFERROR(VLOOKUP(E32,'G1'!$E$6:$P$203,12,0),IFERROR(VLOOKUP(E32,'G2'!$E$6:$P$208,12,0),VLOOKUP(E32,'G3'!$E$6:$P$199,12,0))))</f>
        <v>31.82</v>
      </c>
      <c r="S32" s="198" t="str">
        <f t="shared" si="0"/>
        <v>ok</v>
      </c>
    </row>
    <row r="33" spans="2:19" s="197" customFormat="1" ht="27.75" customHeight="1">
      <c r="B33" s="188">
        <f t="shared" si="1"/>
        <v>28</v>
      </c>
      <c r="C33" s="189">
        <f>IF(ISBLANK($E33),"",VLOOKUP($E33,Teilnehmer!$B$4:$K$199,2,0))</f>
        <v>1</v>
      </c>
      <c r="D33" s="190">
        <f>IF(ISBLANK($E33),"",VLOOKUP($E33,Teilnehmer!$B$4:$K$199,3,0))</f>
        <v>4</v>
      </c>
      <c r="E33" s="191">
        <v>63</v>
      </c>
      <c r="F33" s="181" t="str">
        <f>IF(ISBLANK($E33),"",VLOOKUP($E33,Teilnehmer!$B$4:$K$199,4,0))</f>
        <v>Schachtner Johann</v>
      </c>
      <c r="G33" s="286">
        <f>IF(ISBLANK($E33),"",VLOOKUP($E33,Teilnehmer!$B$4:$K$199,5,0))</f>
        <v>12813</v>
      </c>
      <c r="H33" s="287" t="str">
        <f>IF(ISBLANK($E33),"",VLOOKUP($E33,Teilnehmer!$B$4:$K$199,6,0))</f>
        <v>MSC Emmersdorf</v>
      </c>
      <c r="I33" s="181" t="str">
        <f>IF(ISBLANK($E33),"",VLOOKUP($E33,Teilnehmer!$B$4:$K$199,7,0))</f>
        <v>Haller Melanie</v>
      </c>
      <c r="J33" s="286">
        <f>IF(ISBLANK($E33),"",VLOOKUP($E33,Teilnehmer!$B$4:$K$199,8,0))</f>
        <v>15542</v>
      </c>
      <c r="K33" s="287" t="str">
        <f>IF(ISBLANK($E33),"",VLOOKUP($E33,Teilnehmer!$B$4:$K$199,9,0))</f>
        <v>MSC Mamming / SCC Grünthal</v>
      </c>
      <c r="L33" s="315" t="str">
        <f>IF(ISBLANK($E33),"",VLOOKUP($E33,Teilnehmer!$B$4:$K$199,10,0))</f>
        <v>Mazda MX 5</v>
      </c>
      <c r="M33" s="317">
        <f>IF(ISBLANK($E33),"",IFERROR(VLOOKUP(E33,'G1'!$E$6:$P$203,9,0),IFERROR(VLOOKUP(E33,'G2'!$E$6:$P$208,9,0),VLOOKUP(E33,'G3'!$E$6:$P$199,9,0))))</f>
        <v>2.1122453703703803E-2</v>
      </c>
      <c r="N33" s="193"/>
      <c r="O33" s="194">
        <f>IF(ISBLANK($E33),"",IFERROR(VLOOKUP(E33,'G1'!$E$6:$P$203,10,0),IFERROR(VLOOKUP(E33,'G2'!$E$6:$P$208,10,0),VLOOKUP(E33,'G3'!$E$6:$P$199,10,0))))</f>
        <v>21.18</v>
      </c>
      <c r="P33" s="195">
        <f>IF(ISBLANK($E33),"",IFERROR(VLOOKUP(E33,'G1'!$E$6:$P$203,11,0),IFERROR(VLOOKUP(E33,'G2'!$E$6:$P$208,11,0),VLOOKUP(E33,'G3'!$E$6:$P$199,11,0))))</f>
        <v>8.24</v>
      </c>
      <c r="Q33" s="196">
        <f>IF(ISBLANK($E33),"",IFERROR(VLOOKUP(E33,'G1'!$E$6:$P$203,12,0),IFERROR(VLOOKUP(E33,'G2'!$E$6:$P$208,12,0),VLOOKUP(E33,'G3'!$E$6:$P$199,12,0))))</f>
        <v>29.42</v>
      </c>
      <c r="S33" s="198" t="str">
        <f t="shared" si="0"/>
        <v>ok</v>
      </c>
    </row>
    <row r="34" spans="2:19" s="197" customFormat="1" ht="27.75" customHeight="1">
      <c r="B34" s="188">
        <f t="shared" si="1"/>
        <v>29</v>
      </c>
      <c r="C34" s="189">
        <f>IF(ISBLANK($E34),"",VLOOKUP($E34,Teilnehmer!$B$4:$K$199,2,0))</f>
        <v>2</v>
      </c>
      <c r="D34" s="190">
        <f>IF(ISBLANK($E34),"",VLOOKUP($E34,Teilnehmer!$B$4:$K$199,3,0))</f>
        <v>8</v>
      </c>
      <c r="E34" s="191">
        <v>46</v>
      </c>
      <c r="F34" s="181" t="str">
        <f>IF(ISBLANK($E34),"",VLOOKUP($E34,Teilnehmer!$B$4:$K$199,4,0))</f>
        <v>Gärtner Daniel</v>
      </c>
      <c r="G34" s="286">
        <f>IF(ISBLANK($E34),"",VLOOKUP($E34,Teilnehmer!$B$4:$K$199,5,0))</f>
        <v>15636</v>
      </c>
      <c r="H34" s="287" t="str">
        <f>IF(ISBLANK($E34),"",VLOOKUP($E34,Teilnehmer!$B$4:$K$199,6,0))</f>
        <v>B+G Rallyesport</v>
      </c>
      <c r="I34" s="181" t="str">
        <f>IF(ISBLANK($E34),"",VLOOKUP($E34,Teilnehmer!$B$4:$K$199,7,0))</f>
        <v>Gärtner Yvonne</v>
      </c>
      <c r="J34" s="286">
        <f>IF(ISBLANK($E34),"",VLOOKUP($E34,Teilnehmer!$B$4:$K$199,8,0))</f>
        <v>15637</v>
      </c>
      <c r="K34" s="287" t="str">
        <f>IF(ISBLANK($E34),"",VLOOKUP($E34,Teilnehmer!$B$4:$K$199,9,0))</f>
        <v>-</v>
      </c>
      <c r="L34" s="315" t="str">
        <f>IF(ISBLANK($E34),"",VLOOKUP($E34,Teilnehmer!$B$4:$K$199,10,0))</f>
        <v>VW Golf I</v>
      </c>
      <c r="M34" s="317">
        <f>IF(ISBLANK($E34),"",IFERROR(VLOOKUP(E34,'G1'!$E$6:$P$203,9,0),IFERROR(VLOOKUP(E34,'G2'!$E$6:$P$208,9,0),VLOOKUP(E34,'G3'!$E$6:$P$199,9,0))))</f>
        <v>2.1139236111111015E-2</v>
      </c>
      <c r="N34" s="193"/>
      <c r="O34" s="194">
        <f>IF(ISBLANK($E34),"",IFERROR(VLOOKUP(E34,'G1'!$E$6:$P$203,10,0),IFERROR(VLOOKUP(E34,'G2'!$E$6:$P$208,10,0),VLOOKUP(E34,'G3'!$E$6:$P$199,10,0))))</f>
        <v>13.91</v>
      </c>
      <c r="P34" s="195">
        <f>IF(ISBLANK($E34),"",IFERROR(VLOOKUP(E34,'G1'!$E$6:$P$203,11,0),IFERROR(VLOOKUP(E34,'G2'!$E$6:$P$208,11,0),VLOOKUP(E34,'G3'!$E$6:$P$199,11,0))))</f>
        <v>5.95</v>
      </c>
      <c r="Q34" s="196">
        <f>IF(ISBLANK($E34),"",IFERROR(VLOOKUP(E34,'G1'!$E$6:$P$203,12,0),IFERROR(VLOOKUP(E34,'G2'!$E$6:$P$208,12,0),VLOOKUP(E34,'G3'!$E$6:$P$199,12,0))))</f>
        <v>19.86</v>
      </c>
      <c r="S34" s="198" t="str">
        <f t="shared" si="0"/>
        <v>ok</v>
      </c>
    </row>
    <row r="35" spans="2:19" s="197" customFormat="1" ht="27.75" customHeight="1">
      <c r="B35" s="188">
        <f t="shared" si="1"/>
        <v>30</v>
      </c>
      <c r="C35" s="189">
        <f>IF(ISBLANK($E35),"",VLOOKUP($E35,Teilnehmer!$B$4:$K$199,2,0))</f>
        <v>2</v>
      </c>
      <c r="D35" s="190">
        <f>IF(ISBLANK($E35),"",VLOOKUP($E35,Teilnehmer!$B$4:$K$199,3,0))</f>
        <v>9</v>
      </c>
      <c r="E35" s="191">
        <v>42</v>
      </c>
      <c r="F35" s="181" t="str">
        <f>IF(ISBLANK($E35),"",VLOOKUP($E35,Teilnehmer!$B$4:$K$199,4,0))</f>
        <v>Drexler Matthias</v>
      </c>
      <c r="G35" s="286">
        <f>IF(ISBLANK($E35),"",VLOOKUP($E35,Teilnehmer!$B$4:$K$199,5,0))</f>
        <v>16648</v>
      </c>
      <c r="H35" s="287" t="str">
        <f>IF(ISBLANK($E35),"",VLOOKUP($E35,Teilnehmer!$B$4:$K$199,6,0))</f>
        <v>Rallyeteam Drexler</v>
      </c>
      <c r="I35" s="181" t="str">
        <f>IF(ISBLANK($E35),"",VLOOKUP($E35,Teilnehmer!$B$4:$K$199,7,0))</f>
        <v>Berger Daniel</v>
      </c>
      <c r="J35" s="286">
        <f>IF(ISBLANK($E35),"",VLOOKUP($E35,Teilnehmer!$B$4:$K$199,8,0))</f>
        <v>15100</v>
      </c>
      <c r="K35" s="287" t="str">
        <f>IF(ISBLANK($E35),"",VLOOKUP($E35,Teilnehmer!$B$4:$K$199,9,0))</f>
        <v>Rallyeteam Drexler</v>
      </c>
      <c r="L35" s="315" t="str">
        <f>IF(ISBLANK($E35),"",VLOOKUP($E35,Teilnehmer!$B$4:$K$199,10,0))</f>
        <v>VW Golf II</v>
      </c>
      <c r="M35" s="317">
        <f>IF(ISBLANK($E35),"",IFERROR(VLOOKUP(E35,'G1'!$E$6:$P$203,9,0),IFERROR(VLOOKUP(E35,'G2'!$E$6:$P$208,9,0),VLOOKUP(E35,'G3'!$E$6:$P$199,9,0))))</f>
        <v>2.1165277777777658E-2</v>
      </c>
      <c r="N35" s="193"/>
      <c r="O35" s="194">
        <f>IF(ISBLANK($E35),"",IFERROR(VLOOKUP(E35,'G1'!$E$6:$P$203,10,0),IFERROR(VLOOKUP(E35,'G2'!$E$6:$P$208,10,0),VLOOKUP(E35,'G3'!$E$6:$P$199,10,0))))</f>
        <v>14</v>
      </c>
      <c r="P35" s="195">
        <f>IF(ISBLANK($E35),"",IFERROR(VLOOKUP(E35,'G1'!$E$6:$P$203,11,0),IFERROR(VLOOKUP(E35,'G2'!$E$6:$P$208,11,0),VLOOKUP(E35,'G3'!$E$6:$P$199,11,0))))</f>
        <v>5.71</v>
      </c>
      <c r="Q35" s="196">
        <f>IF(ISBLANK($E35),"",IFERROR(VLOOKUP(E35,'G1'!$E$6:$P$203,12,0),IFERROR(VLOOKUP(E35,'G2'!$E$6:$P$208,12,0),VLOOKUP(E35,'G3'!$E$6:$P$199,12,0))))</f>
        <v>19.71</v>
      </c>
      <c r="S35" s="198" t="str">
        <f t="shared" si="0"/>
        <v>ok</v>
      </c>
    </row>
    <row r="36" spans="2:19" s="197" customFormat="1" ht="27.75" customHeight="1">
      <c r="B36" s="188">
        <f t="shared" si="1"/>
        <v>31</v>
      </c>
      <c r="C36" s="189">
        <f>IF(ISBLANK($E36),"",VLOOKUP($E36,Teilnehmer!$B$4:$K$199,2,0))</f>
        <v>1</v>
      </c>
      <c r="D36" s="190">
        <f>IF(ISBLANK($E36),"",VLOOKUP($E36,Teilnehmer!$B$4:$K$199,3,0))</f>
        <v>5</v>
      </c>
      <c r="E36" s="191">
        <v>59</v>
      </c>
      <c r="F36" s="181" t="str">
        <f>IF(ISBLANK($E36),"",VLOOKUP($E36,Teilnehmer!$B$4:$K$199,4,0))</f>
        <v>Stör Andreas</v>
      </c>
      <c r="G36" s="286">
        <f>IF(ISBLANK($E36),"",VLOOKUP($E36,Teilnehmer!$B$4:$K$199,5,0))</f>
        <v>16415</v>
      </c>
      <c r="H36" s="287" t="str">
        <f>IF(ISBLANK($E36),"",VLOOKUP($E36,Teilnehmer!$B$4:$K$199,6,0))</f>
        <v>AC Gunzenhausen</v>
      </c>
      <c r="I36" s="181" t="str">
        <f>IF(ISBLANK($E36),"",VLOOKUP($E36,Teilnehmer!$B$4:$K$199,7,0))</f>
        <v>Haderlein Jan</v>
      </c>
      <c r="J36" s="286">
        <f>IF(ISBLANK($E36),"",VLOOKUP($E36,Teilnehmer!$B$4:$K$199,8,0))</f>
        <v>0</v>
      </c>
      <c r="K36" s="287" t="str">
        <f>IF(ISBLANK($E36),"",VLOOKUP($E36,Teilnehmer!$B$4:$K$199,9,0))</f>
        <v>AC Gunzenhausen</v>
      </c>
      <c r="L36" s="315" t="str">
        <f>IF(ISBLANK($E36),"",VLOOKUP($E36,Teilnehmer!$B$4:$K$199,10,0))</f>
        <v>BMW 323ti</v>
      </c>
      <c r="M36" s="317">
        <f>IF(ISBLANK($E36),"",IFERROR(VLOOKUP(E36,'G1'!$E$6:$P$203,9,0),IFERROR(VLOOKUP(E36,'G2'!$E$6:$P$208,9,0),VLOOKUP(E36,'G3'!$E$6:$P$199,9,0))))</f>
        <v>2.1171412037037041E-2</v>
      </c>
      <c r="N36" s="193"/>
      <c r="O36" s="194">
        <f>IF(ISBLANK($E36),"",IFERROR(VLOOKUP(E36,'G1'!$E$6:$P$203,10,0),IFERROR(VLOOKUP(E36,'G2'!$E$6:$P$208,10,0),VLOOKUP(E36,'G3'!$E$6:$P$199,10,0))))</f>
        <v>16.329999999999998</v>
      </c>
      <c r="P36" s="195">
        <f>IF(ISBLANK($E36),"",IFERROR(VLOOKUP(E36,'G1'!$E$6:$P$203,11,0),IFERROR(VLOOKUP(E36,'G2'!$E$6:$P$208,11,0),VLOOKUP(E36,'G3'!$E$6:$P$199,11,0))))</f>
        <v>7.65</v>
      </c>
      <c r="Q36" s="196">
        <f>IF(ISBLANK($E36),"",IFERROR(VLOOKUP(E36,'G1'!$E$6:$P$203,12,0),IFERROR(VLOOKUP(E36,'G2'!$E$6:$P$208,12,0),VLOOKUP(E36,'G3'!$E$6:$P$199,12,0))))</f>
        <v>23.98</v>
      </c>
      <c r="S36" s="198" t="str">
        <f t="shared" si="0"/>
        <v>ok</v>
      </c>
    </row>
    <row r="37" spans="2:19" s="197" customFormat="1" ht="27.75" customHeight="1">
      <c r="B37" s="188">
        <f t="shared" si="1"/>
        <v>32</v>
      </c>
      <c r="C37" s="189">
        <f>IF(ISBLANK($E37),"",VLOOKUP($E37,Teilnehmer!$B$4:$K$199,2,0))</f>
        <v>1</v>
      </c>
      <c r="D37" s="190">
        <f>IF(ISBLANK($E37),"",VLOOKUP($E37,Teilnehmer!$B$4:$K$199,3,0))</f>
        <v>4</v>
      </c>
      <c r="E37" s="191">
        <v>65</v>
      </c>
      <c r="F37" s="181" t="str">
        <f>IF(ISBLANK($E37),"",VLOOKUP($E37,Teilnehmer!$B$4:$K$199,4,0))</f>
        <v>Meier Georg</v>
      </c>
      <c r="G37" s="286">
        <f>IF(ISBLANK($E37),"",VLOOKUP($E37,Teilnehmer!$B$4:$K$199,5,0))</f>
        <v>16425</v>
      </c>
      <c r="H37" s="287" t="str">
        <f>IF(ISBLANK($E37),"",VLOOKUP($E37,Teilnehmer!$B$4:$K$199,6,0))</f>
        <v>SWF Weidwies</v>
      </c>
      <c r="I37" s="181" t="str">
        <f>IF(ISBLANK($E37),"",VLOOKUP($E37,Teilnehmer!$B$4:$K$199,7,0))</f>
        <v>Eder Markus</v>
      </c>
      <c r="J37" s="286">
        <f>IF(ISBLANK($E37),"",VLOOKUP($E37,Teilnehmer!$B$4:$K$199,8,0))</f>
        <v>16426</v>
      </c>
      <c r="K37" s="287" t="str">
        <f>IF(ISBLANK($E37),"",VLOOKUP($E37,Teilnehmer!$B$4:$K$199,9,0))</f>
        <v>SWF Weidwies</v>
      </c>
      <c r="L37" s="315" t="str">
        <f>IF(ISBLANK($E37),"",VLOOKUP($E37,Teilnehmer!$B$4:$K$199,10,0))</f>
        <v>BMW 318ti</v>
      </c>
      <c r="M37" s="317">
        <f>IF(ISBLANK($E37),"",IFERROR(VLOOKUP(E37,'G1'!$E$6:$P$203,9,0),IFERROR(VLOOKUP(E37,'G2'!$E$6:$P$208,9,0),VLOOKUP(E37,'G3'!$E$6:$P$199,9,0))))</f>
        <v>2.1172685185185336E-2</v>
      </c>
      <c r="N37" s="193"/>
      <c r="O37" s="194">
        <f>IF(ISBLANK($E37),"",IFERROR(VLOOKUP(E37,'G1'!$E$6:$P$203,10,0),IFERROR(VLOOKUP(E37,'G2'!$E$6:$P$208,10,0),VLOOKUP(E37,'G3'!$E$6:$P$199,10,0))))</f>
        <v>19.36</v>
      </c>
      <c r="P37" s="195">
        <f>IF(ISBLANK($E37),"",IFERROR(VLOOKUP(E37,'G1'!$E$6:$P$203,11,0),IFERROR(VLOOKUP(E37,'G2'!$E$6:$P$208,11,0),VLOOKUP(E37,'G3'!$E$6:$P$199,11,0))))</f>
        <v>7.06</v>
      </c>
      <c r="Q37" s="196">
        <f>IF(ISBLANK($E37),"",IFERROR(VLOOKUP(E37,'G1'!$E$6:$P$203,12,0),IFERROR(VLOOKUP(E37,'G2'!$E$6:$P$208,12,0),VLOOKUP(E37,'G3'!$E$6:$P$199,12,0))))</f>
        <v>26.42</v>
      </c>
      <c r="S37" s="198" t="str">
        <f t="shared" si="0"/>
        <v>ok</v>
      </c>
    </row>
    <row r="38" spans="2:19" s="197" customFormat="1" ht="27.75" customHeight="1">
      <c r="B38" s="188">
        <f t="shared" si="1"/>
        <v>33</v>
      </c>
      <c r="C38" s="189">
        <f>IF(ISBLANK($E38),"",VLOOKUP($E38,Teilnehmer!$B$4:$K$199,2,0))</f>
        <v>1</v>
      </c>
      <c r="D38" s="190">
        <f>IF(ISBLANK($E38),"",VLOOKUP($E38,Teilnehmer!$B$4:$K$199,3,0))</f>
        <v>4</v>
      </c>
      <c r="E38" s="191">
        <v>62</v>
      </c>
      <c r="F38" s="181" t="str">
        <f>IF(ISBLANK($E38),"",VLOOKUP($E38,Teilnehmer!$B$4:$K$199,4,0))</f>
        <v>Neumaier Martin</v>
      </c>
      <c r="G38" s="286">
        <f>IF(ISBLANK($E38),"",VLOOKUP($E38,Teilnehmer!$B$4:$K$199,5,0))</f>
        <v>16132</v>
      </c>
      <c r="H38" s="287" t="str">
        <f>IF(ISBLANK($E38),"",VLOOKUP($E38,Teilnehmer!$B$4:$K$199,6,0))</f>
        <v>MSC Mamming</v>
      </c>
      <c r="I38" s="181" t="str">
        <f>IF(ISBLANK($E38),"",VLOOKUP($E38,Teilnehmer!$B$4:$K$199,7,0))</f>
        <v>Neumaier Martina</v>
      </c>
      <c r="J38" s="286">
        <f>IF(ISBLANK($E38),"",VLOOKUP($E38,Teilnehmer!$B$4:$K$199,8,0))</f>
        <v>16297</v>
      </c>
      <c r="K38" s="287" t="str">
        <f>IF(ISBLANK($E38),"",VLOOKUP($E38,Teilnehmer!$B$4:$K$199,9,0))</f>
        <v>MSC Mamming</v>
      </c>
      <c r="L38" s="315" t="str">
        <f>IF(ISBLANK($E38),"",VLOOKUP($E38,Teilnehmer!$B$4:$K$199,10,0))</f>
        <v>VW Golf II 16V</v>
      </c>
      <c r="M38" s="317">
        <f>IF(ISBLANK($E38),"",IFERROR(VLOOKUP(E38,'G1'!$E$6:$P$203,9,0),IFERROR(VLOOKUP(E38,'G2'!$E$6:$P$208,9,0),VLOOKUP(E38,'G3'!$E$6:$P$199,9,0))))</f>
        <v>2.1315393518518522E-2</v>
      </c>
      <c r="N38" s="193"/>
      <c r="O38" s="194">
        <f>IF(ISBLANK($E38),"",IFERROR(VLOOKUP(E38,'G1'!$E$6:$P$203,10,0),IFERROR(VLOOKUP(E38,'G2'!$E$6:$P$208,10,0),VLOOKUP(E38,'G3'!$E$6:$P$199,10,0))))</f>
        <v>17.55</v>
      </c>
      <c r="P38" s="195">
        <f>IF(ISBLANK($E38),"",IFERROR(VLOOKUP(E38,'G1'!$E$6:$P$203,11,0),IFERROR(VLOOKUP(E38,'G2'!$E$6:$P$208,11,0),VLOOKUP(E38,'G3'!$E$6:$P$199,11,0))))</f>
        <v>6.47</v>
      </c>
      <c r="Q38" s="196">
        <f>IF(ISBLANK($E38),"",IFERROR(VLOOKUP(E38,'G1'!$E$6:$P$203,12,0),IFERROR(VLOOKUP(E38,'G2'!$E$6:$P$208,12,0),VLOOKUP(E38,'G3'!$E$6:$P$199,12,0))))</f>
        <v>24.02</v>
      </c>
      <c r="S38" s="198" t="str">
        <f t="shared" si="0"/>
        <v>ok</v>
      </c>
    </row>
    <row r="39" spans="2:19" s="197" customFormat="1" ht="27.75" customHeight="1">
      <c r="B39" s="188">
        <f t="shared" si="1"/>
        <v>34</v>
      </c>
      <c r="C39" s="189">
        <f>IF(ISBLANK($E39),"",VLOOKUP($E39,Teilnehmer!$B$4:$K$199,2,0))</f>
        <v>2</v>
      </c>
      <c r="D39" s="190">
        <f>IF(ISBLANK($E39),"",VLOOKUP($E39,Teilnehmer!$B$4:$K$199,3,0))</f>
        <v>9</v>
      </c>
      <c r="E39" s="191">
        <v>32</v>
      </c>
      <c r="F39" s="181" t="str">
        <f>IF(ISBLANK($E39),"",VLOOKUP($E39,Teilnehmer!$B$4:$K$199,4,0))</f>
        <v>Litzius Kurt</v>
      </c>
      <c r="G39" s="286">
        <f>IF(ISBLANK($E39),"",VLOOKUP($E39,Teilnehmer!$B$4:$K$199,5,0))</f>
        <v>8177</v>
      </c>
      <c r="H39" s="287" t="str">
        <f>IF(ISBLANK($E39),"",VLOOKUP($E39,Teilnehmer!$B$4:$K$199,6,0))</f>
        <v>-</v>
      </c>
      <c r="I39" s="181" t="str">
        <f>IF(ISBLANK($E39),"",VLOOKUP($E39,Teilnehmer!$B$4:$K$199,7,0))</f>
        <v>Litzius Mandy</v>
      </c>
      <c r="J39" s="286">
        <f>IF(ISBLANK($E39),"",VLOOKUP($E39,Teilnehmer!$B$4:$K$199,8,0))</f>
        <v>14447</v>
      </c>
      <c r="K39" s="287" t="str">
        <f>IF(ISBLANK($E39),"",VLOOKUP($E39,Teilnehmer!$B$4:$K$199,9,0))</f>
        <v>MSC Mamming / AMC Arzbach</v>
      </c>
      <c r="L39" s="315" t="str">
        <f>IF(ISBLANK($E39),"",VLOOKUP($E39,Teilnehmer!$B$4:$K$199,10,0))</f>
        <v>Opel Kadett C Coupé</v>
      </c>
      <c r="M39" s="317">
        <f>IF(ISBLANK($E39),"",IFERROR(VLOOKUP(E39,'G1'!$E$6:$P$203,9,0),IFERROR(VLOOKUP(E39,'G2'!$E$6:$P$208,9,0),VLOOKUP(E39,'G3'!$E$6:$P$199,9,0))))</f>
        <v>2.1372569444444656E-2</v>
      </c>
      <c r="N39" s="193"/>
      <c r="O39" s="194">
        <f>IF(ISBLANK($E39),"",IFERROR(VLOOKUP(E39,'G1'!$E$6:$P$203,10,0),IFERROR(VLOOKUP(E39,'G2'!$E$6:$P$208,10,0),VLOOKUP(E39,'G3'!$E$6:$P$199,10,0))))</f>
        <v>13</v>
      </c>
      <c r="P39" s="195">
        <f>IF(ISBLANK($E39),"",IFERROR(VLOOKUP(E39,'G1'!$E$6:$P$203,11,0),IFERROR(VLOOKUP(E39,'G2'!$E$6:$P$208,11,0),VLOOKUP(E39,'G3'!$E$6:$P$199,11,0))))</f>
        <v>5.48</v>
      </c>
      <c r="Q39" s="196">
        <f>IF(ISBLANK($E39),"",IFERROR(VLOOKUP(E39,'G1'!$E$6:$P$203,12,0),IFERROR(VLOOKUP(E39,'G2'!$E$6:$P$208,12,0),VLOOKUP(E39,'G3'!$E$6:$P$199,12,0))))</f>
        <v>18.48</v>
      </c>
      <c r="S39" s="198" t="str">
        <f t="shared" si="0"/>
        <v>ok</v>
      </c>
    </row>
    <row r="40" spans="2:19" s="197" customFormat="1" ht="27.75" customHeight="1">
      <c r="B40" s="188">
        <f t="shared" si="1"/>
        <v>35</v>
      </c>
      <c r="C40" s="189">
        <f>IF(ISBLANK($E40),"",VLOOKUP($E40,Teilnehmer!$B$4:$K$199,2,0))</f>
        <v>2</v>
      </c>
      <c r="D40" s="190">
        <f>IF(ISBLANK($E40),"",VLOOKUP($E40,Teilnehmer!$B$4:$K$199,3,0))</f>
        <v>9</v>
      </c>
      <c r="E40" s="191">
        <v>37</v>
      </c>
      <c r="F40" s="181" t="str">
        <f>IF(ISBLANK($E40),"",VLOOKUP($E40,Teilnehmer!$B$4:$K$199,4,0))</f>
        <v>Kohl Bernd</v>
      </c>
      <c r="G40" s="286" t="str">
        <f>IF(ISBLANK($E40),"",VLOOKUP($E40,Teilnehmer!$B$4:$K$199,5,0))</f>
        <v>-</v>
      </c>
      <c r="H40" s="287" t="str">
        <f>IF(ISBLANK($E40),"",VLOOKUP($E40,Teilnehmer!$B$4:$K$199,6,0))</f>
        <v>ASC Wilhelmsfeld</v>
      </c>
      <c r="I40" s="181" t="str">
        <f>IF(ISBLANK($E40),"",VLOOKUP($E40,Teilnehmer!$B$4:$K$199,7,0))</f>
        <v>Oster Roland</v>
      </c>
      <c r="J40" s="286" t="str">
        <f>IF(ISBLANK($E40),"",VLOOKUP($E40,Teilnehmer!$B$4:$K$199,8,0))</f>
        <v>-</v>
      </c>
      <c r="K40" s="287" t="str">
        <f>IF(ISBLANK($E40),"",VLOOKUP($E40,Teilnehmer!$B$4:$K$199,9,0))</f>
        <v>ASC Wilhelmsfeld</v>
      </c>
      <c r="L40" s="315" t="str">
        <f>IF(ISBLANK($E40),"",VLOOKUP($E40,Teilnehmer!$B$4:$K$199,10,0))</f>
        <v>BMW E30 318 IS</v>
      </c>
      <c r="M40" s="317">
        <f>IF(ISBLANK($E40),"",IFERROR(VLOOKUP(E40,'G1'!$E$6:$P$203,9,0),IFERROR(VLOOKUP(E40,'G2'!$E$6:$P$208,9,0),VLOOKUP(E40,'G3'!$E$6:$P$199,9,0))))</f>
        <v>2.140729166666655E-2</v>
      </c>
      <c r="N40" s="193"/>
      <c r="O40" s="194">
        <f>IF(ISBLANK($E40),"",IFERROR(VLOOKUP(E40,'G1'!$E$6:$P$203,10,0),IFERROR(VLOOKUP(E40,'G2'!$E$6:$P$208,10,0),VLOOKUP(E40,'G3'!$E$6:$P$199,10,0))))</f>
        <v>12</v>
      </c>
      <c r="P40" s="195">
        <f>IF(ISBLANK($E40),"",IFERROR(VLOOKUP(E40,'G1'!$E$6:$P$203,11,0),IFERROR(VLOOKUP(E40,'G2'!$E$6:$P$208,11,0),VLOOKUP(E40,'G3'!$E$6:$P$199,11,0))))</f>
        <v>5.24</v>
      </c>
      <c r="Q40" s="196">
        <f>IF(ISBLANK($E40),"",IFERROR(VLOOKUP(E40,'G1'!$E$6:$P$203,12,0),IFERROR(VLOOKUP(E40,'G2'!$E$6:$P$208,12,0),VLOOKUP(E40,'G3'!$E$6:$P$199,12,0))))</f>
        <v>17.239999999999998</v>
      </c>
      <c r="S40" s="198" t="str">
        <f t="shared" si="0"/>
        <v>ok</v>
      </c>
    </row>
    <row r="41" spans="2:19" s="197" customFormat="1" ht="27.75" customHeight="1">
      <c r="B41" s="188">
        <f t="shared" si="1"/>
        <v>36</v>
      </c>
      <c r="C41" s="189">
        <f>IF(ISBLANK($E41),"",VLOOKUP($E41,Teilnehmer!$B$4:$K$199,2,0))</f>
        <v>1</v>
      </c>
      <c r="D41" s="190">
        <f>IF(ISBLANK($E41),"",VLOOKUP($E41,Teilnehmer!$B$4:$K$199,3,0))</f>
        <v>5</v>
      </c>
      <c r="E41" s="191">
        <v>56</v>
      </c>
      <c r="F41" s="181" t="str">
        <f>IF(ISBLANK($E41),"",VLOOKUP($E41,Teilnehmer!$B$4:$K$199,4,0))</f>
        <v>Knese Fabian</v>
      </c>
      <c r="G41" s="286">
        <f>IF(ISBLANK($E41),"",VLOOKUP($E41,Teilnehmer!$B$4:$K$199,5,0))</f>
        <v>15997</v>
      </c>
      <c r="H41" s="287" t="str">
        <f>IF(ISBLANK($E41),"",VLOOKUP($E41,Teilnehmer!$B$4:$K$199,6,0))</f>
        <v>UMC Ulm / MC Einsingen / MSC Mamming</v>
      </c>
      <c r="I41" s="181" t="str">
        <f>IF(ISBLANK($E41),"",VLOOKUP($E41,Teilnehmer!$B$4:$K$199,7,0))</f>
        <v>Sancakli Dean</v>
      </c>
      <c r="J41" s="286">
        <f>IF(ISBLANK($E41),"",VLOOKUP($E41,Teilnehmer!$B$4:$K$199,8,0))</f>
        <v>16625</v>
      </c>
      <c r="K41" s="287" t="str">
        <f>IF(ISBLANK($E41),"",VLOOKUP($E41,Teilnehmer!$B$4:$K$199,9,0))</f>
        <v>-</v>
      </c>
      <c r="L41" s="315" t="str">
        <f>IF(ISBLANK($E41),"",VLOOKUP($E41,Teilnehmer!$B$4:$K$199,10,0))</f>
        <v>BMW E36</v>
      </c>
      <c r="M41" s="317">
        <f>IF(ISBLANK($E41),"",IFERROR(VLOOKUP(E41,'G1'!$E$6:$P$203,9,0),IFERROR(VLOOKUP(E41,'G2'!$E$6:$P$208,9,0),VLOOKUP(E41,'G3'!$E$6:$P$199,9,0))))</f>
        <v>2.1454166666666608E-2</v>
      </c>
      <c r="N41" s="193"/>
      <c r="O41" s="194">
        <f>IF(ISBLANK($E41),"",IFERROR(VLOOKUP(E41,'G1'!$E$6:$P$203,10,0),IFERROR(VLOOKUP(E41,'G2'!$E$6:$P$208,10,0),VLOOKUP(E41,'G3'!$E$6:$P$199,10,0))))</f>
        <v>13</v>
      </c>
      <c r="P41" s="195">
        <f>IF(ISBLANK($E41),"",IFERROR(VLOOKUP(E41,'G1'!$E$6:$P$203,11,0),IFERROR(VLOOKUP(E41,'G2'!$E$6:$P$208,11,0),VLOOKUP(E41,'G3'!$E$6:$P$199,11,0))))</f>
        <v>5.88</v>
      </c>
      <c r="Q41" s="196">
        <f>IF(ISBLANK($E41),"",IFERROR(VLOOKUP(E41,'G1'!$E$6:$P$203,12,0),IFERROR(VLOOKUP(E41,'G2'!$E$6:$P$208,12,0),VLOOKUP(E41,'G3'!$E$6:$P$199,12,0))))</f>
        <v>18.88</v>
      </c>
      <c r="S41" s="198" t="str">
        <f t="shared" si="0"/>
        <v>ok</v>
      </c>
    </row>
    <row r="42" spans="2:19" s="197" customFormat="1" ht="27.75" customHeight="1">
      <c r="B42" s="188">
        <f t="shared" si="1"/>
        <v>37</v>
      </c>
      <c r="C42" s="189">
        <f>IF(ISBLANK($E42),"",VLOOKUP($E42,Teilnehmer!$B$4:$K$199,2,0))</f>
        <v>1</v>
      </c>
      <c r="D42" s="190">
        <f>IF(ISBLANK($E42),"",VLOOKUP($E42,Teilnehmer!$B$4:$K$199,3,0))</f>
        <v>4</v>
      </c>
      <c r="E42" s="191">
        <v>66</v>
      </c>
      <c r="F42" s="181" t="str">
        <f>IF(ISBLANK($E42),"",VLOOKUP($E42,Teilnehmer!$B$4:$K$199,4,0))</f>
        <v>Oberneder Josef</v>
      </c>
      <c r="G42" s="286">
        <f>IF(ISBLANK($E42),"",VLOOKUP($E42,Teilnehmer!$B$4:$K$199,5,0))</f>
        <v>14172</v>
      </c>
      <c r="H42" s="287" t="str">
        <f>IF(ISBLANK($E42),"",VLOOKUP($E42,Teilnehmer!$B$4:$K$199,6,0))</f>
        <v>SWF Weidwies</v>
      </c>
      <c r="I42" s="181" t="str">
        <f>IF(ISBLANK($E42),"",VLOOKUP($E42,Teilnehmer!$B$4:$K$199,7,0))</f>
        <v>Krenn Christina</v>
      </c>
      <c r="J42" s="286">
        <f>IF(ISBLANK($E42),"",VLOOKUP($E42,Teilnehmer!$B$4:$K$199,8,0))</f>
        <v>14748</v>
      </c>
      <c r="K42" s="287" t="str">
        <f>IF(ISBLANK($E42),"",VLOOKUP($E42,Teilnehmer!$B$4:$K$199,9,0))</f>
        <v>SWF Weidwies</v>
      </c>
      <c r="L42" s="315" t="str">
        <f>IF(ISBLANK($E42),"",VLOOKUP($E42,Teilnehmer!$B$4:$K$199,10,0))</f>
        <v>VW Golf 2</v>
      </c>
      <c r="M42" s="317">
        <f>IF(ISBLANK($E42),"",IFERROR(VLOOKUP(E42,'G1'!$E$6:$P$203,9,0),IFERROR(VLOOKUP(E42,'G2'!$E$6:$P$208,9,0),VLOOKUP(E42,'G3'!$E$6:$P$199,9,0))))</f>
        <v>2.1626620370370331E-2</v>
      </c>
      <c r="N42" s="193"/>
      <c r="O42" s="194">
        <f>IF(ISBLANK($E42),"",IFERROR(VLOOKUP(E42,'G1'!$E$6:$P$203,10,0),IFERROR(VLOOKUP(E42,'G2'!$E$6:$P$208,10,0),VLOOKUP(E42,'G3'!$E$6:$P$199,10,0))))</f>
        <v>15.73</v>
      </c>
      <c r="P42" s="195">
        <f>IF(ISBLANK($E42),"",IFERROR(VLOOKUP(E42,'G1'!$E$6:$P$203,11,0),IFERROR(VLOOKUP(E42,'G2'!$E$6:$P$208,11,0),VLOOKUP(E42,'G3'!$E$6:$P$199,11,0))))</f>
        <v>5.29</v>
      </c>
      <c r="Q42" s="196">
        <f>IF(ISBLANK($E42),"",IFERROR(VLOOKUP(E42,'G1'!$E$6:$P$203,12,0),IFERROR(VLOOKUP(E42,'G2'!$E$6:$P$208,12,0),VLOOKUP(E42,'G3'!$E$6:$P$199,12,0))))</f>
        <v>21.02</v>
      </c>
      <c r="S42" s="198" t="str">
        <f t="shared" si="0"/>
        <v>ok</v>
      </c>
    </row>
    <row r="43" spans="2:19" s="197" customFormat="1" ht="27.75" customHeight="1">
      <c r="B43" s="188">
        <f t="shared" si="1"/>
        <v>38</v>
      </c>
      <c r="C43" s="189">
        <f>IF(ISBLANK($E43),"",VLOOKUP($E43,Teilnehmer!$B$4:$K$199,2,0))</f>
        <v>2</v>
      </c>
      <c r="D43" s="190">
        <f>IF(ISBLANK($E43),"",VLOOKUP($E43,Teilnehmer!$B$4:$K$199,3,0))</f>
        <v>8</v>
      </c>
      <c r="E43" s="191">
        <v>50</v>
      </c>
      <c r="F43" s="181" t="str">
        <f>IF(ISBLANK($E43),"",VLOOKUP($E43,Teilnehmer!$B$4:$K$199,4,0))</f>
        <v>Werner Harald</v>
      </c>
      <c r="G43" s="286">
        <f>IF(ISBLANK($E43),"",VLOOKUP($E43,Teilnehmer!$B$4:$K$199,5,0))</f>
        <v>20275</v>
      </c>
      <c r="H43" s="287" t="str">
        <f>IF(ISBLANK($E43),"",VLOOKUP($E43,Teilnehmer!$B$4:$K$199,6,0))</f>
        <v>RST Mittelfranken</v>
      </c>
      <c r="I43" s="181" t="str">
        <f>IF(ISBLANK($E43),"",VLOOKUP($E43,Teilnehmer!$B$4:$K$199,7,0))</f>
        <v>Bratfisch-Beltz Thomas</v>
      </c>
      <c r="J43" s="286">
        <f>IF(ISBLANK($E43),"",VLOOKUP($E43,Teilnehmer!$B$4:$K$199,8,0))</f>
        <v>40075</v>
      </c>
      <c r="K43" s="287" t="str">
        <f>IF(ISBLANK($E43),"",VLOOKUP($E43,Teilnehmer!$B$4:$K$199,9,0))</f>
        <v>MSC Berg</v>
      </c>
      <c r="L43" s="315" t="str">
        <f>IF(ISBLANK($E43),"",VLOOKUP($E43,Teilnehmer!$B$4:$K$199,10,0))</f>
        <v>Mitsubishi Colt</v>
      </c>
      <c r="M43" s="317">
        <f>IF(ISBLANK($E43),"",IFERROR(VLOOKUP(E43,'G1'!$E$6:$P$203,9,0),IFERROR(VLOOKUP(E43,'G2'!$E$6:$P$208,9,0),VLOOKUP(E43,'G3'!$E$6:$P$199,9,0))))</f>
        <v>2.1824652777777842E-2</v>
      </c>
      <c r="N43" s="193"/>
      <c r="O43" s="194">
        <f>IF(ISBLANK($E43),"",IFERROR(VLOOKUP(E43,'G1'!$E$6:$P$203,10,0),IFERROR(VLOOKUP(E43,'G2'!$E$6:$P$208,10,0),VLOOKUP(E43,'G3'!$E$6:$P$199,10,0))))</f>
        <v>12.09</v>
      </c>
      <c r="P43" s="195">
        <f>IF(ISBLANK($E43),"",IFERROR(VLOOKUP(E43,'G1'!$E$6:$P$203,11,0),IFERROR(VLOOKUP(E43,'G2'!$E$6:$P$208,11,0),VLOOKUP(E43,'G3'!$E$6:$P$199,11,0))))</f>
        <v>5</v>
      </c>
      <c r="Q43" s="196">
        <f>IF(ISBLANK($E43),"",IFERROR(VLOOKUP(E43,'G1'!$E$6:$P$203,12,0),IFERROR(VLOOKUP(E43,'G2'!$E$6:$P$208,12,0),VLOOKUP(E43,'G3'!$E$6:$P$199,12,0))))</f>
        <v>17.09</v>
      </c>
      <c r="S43" s="198" t="str">
        <f t="shared" si="0"/>
        <v>ok</v>
      </c>
    </row>
    <row r="44" spans="2:19" s="197" customFormat="1" ht="27.75" customHeight="1">
      <c r="B44" s="188">
        <f t="shared" si="1"/>
        <v>39</v>
      </c>
      <c r="C44" s="189">
        <f>IF(ISBLANK($E44),"",VLOOKUP($E44,Teilnehmer!$B$4:$K$199,2,0))</f>
        <v>2</v>
      </c>
      <c r="D44" s="190">
        <f>IF(ISBLANK($E44),"",VLOOKUP($E44,Teilnehmer!$B$4:$K$199,3,0))</f>
        <v>10</v>
      </c>
      <c r="E44" s="191">
        <v>16</v>
      </c>
      <c r="F44" s="181" t="str">
        <f>IF(ISBLANK($E44),"",VLOOKUP($E44,Teilnehmer!$B$4:$K$199,4,0))</f>
        <v>Schad Carsten</v>
      </c>
      <c r="G44" s="286" t="str">
        <f>IF(ISBLANK($E44),"",VLOOKUP($E44,Teilnehmer!$B$4:$K$199,5,0))</f>
        <v>-</v>
      </c>
      <c r="H44" s="287" t="str">
        <f>IF(ISBLANK($E44),"",VLOOKUP($E44,Teilnehmer!$B$4:$K$199,6,0))</f>
        <v>AMC Bad Königshofen</v>
      </c>
      <c r="I44" s="181" t="str">
        <f>IF(ISBLANK($E44),"",VLOOKUP($E44,Teilnehmer!$B$4:$K$199,7,0))</f>
        <v>Schad Alicia</v>
      </c>
      <c r="J44" s="286" t="str">
        <f>IF(ISBLANK($E44),"",VLOOKUP($E44,Teilnehmer!$B$4:$K$199,8,0))</f>
        <v>-</v>
      </c>
      <c r="K44" s="287" t="str">
        <f>IF(ISBLANK($E44),"",VLOOKUP($E44,Teilnehmer!$B$4:$K$199,9,0))</f>
        <v>AMC Bad Königshofen</v>
      </c>
      <c r="L44" s="315" t="str">
        <f>IF(ISBLANK($E44),"",VLOOKUP($E44,Teilnehmer!$B$4:$K$199,10,0))</f>
        <v>BMW M3 e36</v>
      </c>
      <c r="M44" s="317">
        <f>IF(ISBLANK($E44),"",IFERROR(VLOOKUP(E44,'G1'!$E$6:$P$203,9,0),IFERROR(VLOOKUP(E44,'G2'!$E$6:$P$208,9,0),VLOOKUP(E44,'G3'!$E$6:$P$199,9,0))))</f>
        <v>2.1860648148148032E-2</v>
      </c>
      <c r="N44" s="193"/>
      <c r="O44" s="194">
        <f>IF(ISBLANK($E44),"",IFERROR(VLOOKUP(E44,'G1'!$E$6:$P$203,10,0),IFERROR(VLOOKUP(E44,'G2'!$E$6:$P$208,10,0),VLOOKUP(E44,'G3'!$E$6:$P$199,10,0))))</f>
        <v>18</v>
      </c>
      <c r="P44" s="195">
        <f>IF(ISBLANK($E44),"",IFERROR(VLOOKUP(E44,'G1'!$E$6:$P$203,11,0),IFERROR(VLOOKUP(E44,'G2'!$E$6:$P$208,11,0),VLOOKUP(E44,'G3'!$E$6:$P$199,11,0))))</f>
        <v>4.76</v>
      </c>
      <c r="Q44" s="196">
        <f>IF(ISBLANK($E44),"",IFERROR(VLOOKUP(E44,'G1'!$E$6:$P$203,12,0),IFERROR(VLOOKUP(E44,'G2'!$E$6:$P$208,12,0),VLOOKUP(E44,'G3'!$E$6:$P$199,12,0))))</f>
        <v>22.76</v>
      </c>
      <c r="S44" s="198" t="str">
        <f t="shared" si="0"/>
        <v>ok</v>
      </c>
    </row>
    <row r="45" spans="2:19" s="197" customFormat="1" ht="27.75" customHeight="1">
      <c r="B45" s="188">
        <f t="shared" si="1"/>
        <v>40</v>
      </c>
      <c r="C45" s="189">
        <f>IF(ISBLANK($E45),"",VLOOKUP($E45,Teilnehmer!$B$4:$K$199,2,0))</f>
        <v>2</v>
      </c>
      <c r="D45" s="190">
        <f>IF(ISBLANK($E45),"",VLOOKUP($E45,Teilnehmer!$B$4:$K$199,3,0))</f>
        <v>10</v>
      </c>
      <c r="E45" s="191">
        <v>15</v>
      </c>
      <c r="F45" s="181" t="str">
        <f>IF(ISBLANK($E45),"",VLOOKUP($E45,Teilnehmer!$B$4:$K$199,4,0))</f>
        <v>Oest Marc</v>
      </c>
      <c r="G45" s="286" t="str">
        <f>IF(ISBLANK($E45),"",VLOOKUP($E45,Teilnehmer!$B$4:$K$199,5,0))</f>
        <v>-</v>
      </c>
      <c r="H45" s="287" t="str">
        <f>IF(ISBLANK($E45),"",VLOOKUP($E45,Teilnehmer!$B$4:$K$199,6,0))</f>
        <v>MSC Ramberg</v>
      </c>
      <c r="I45" s="181" t="str">
        <f>IF(ISBLANK($E45),"",VLOOKUP($E45,Teilnehmer!$B$4:$K$199,7,0))</f>
        <v>Oest Thomas</v>
      </c>
      <c r="J45" s="286" t="str">
        <f>IF(ISBLANK($E45),"",VLOOKUP($E45,Teilnehmer!$B$4:$K$199,8,0))</f>
        <v>-</v>
      </c>
      <c r="K45" s="287" t="str">
        <f>IF(ISBLANK($E45),"",VLOOKUP($E45,Teilnehmer!$B$4:$K$199,9,0))</f>
        <v>MSC Ramberg</v>
      </c>
      <c r="L45" s="315" t="str">
        <f>IF(ISBLANK($E45),"",VLOOKUP($E45,Teilnehmer!$B$4:$K$199,10,0))</f>
        <v>BMW 540i</v>
      </c>
      <c r="M45" s="317">
        <f>IF(ISBLANK($E45),"",IFERROR(VLOOKUP(E45,'G1'!$E$6:$P$203,9,0),IFERROR(VLOOKUP(E45,'G2'!$E$6:$P$208,9,0),VLOOKUP(E45,'G3'!$E$6:$P$199,9,0))))</f>
        <v>2.1903587962962767E-2</v>
      </c>
      <c r="N45" s="193"/>
      <c r="O45" s="194">
        <f>IF(ISBLANK($E45),"",IFERROR(VLOOKUP(E45,'G1'!$E$6:$P$203,10,0),IFERROR(VLOOKUP(E45,'G2'!$E$6:$P$208,10,0),VLOOKUP(E45,'G3'!$E$6:$P$199,10,0))))</f>
        <v>15.5</v>
      </c>
      <c r="P45" s="195">
        <f>IF(ISBLANK($E45),"",IFERROR(VLOOKUP(E45,'G1'!$E$6:$P$203,11,0),IFERROR(VLOOKUP(E45,'G2'!$E$6:$P$208,11,0),VLOOKUP(E45,'G3'!$E$6:$P$199,11,0))))</f>
        <v>4.5199999999999996</v>
      </c>
      <c r="Q45" s="196">
        <f>IF(ISBLANK($E45),"",IFERROR(VLOOKUP(E45,'G1'!$E$6:$P$203,12,0),IFERROR(VLOOKUP(E45,'G2'!$E$6:$P$208,12,0),VLOOKUP(E45,'G3'!$E$6:$P$199,12,0))))</f>
        <v>20.02</v>
      </c>
      <c r="S45" s="198" t="str">
        <f t="shared" si="0"/>
        <v>ok</v>
      </c>
    </row>
    <row r="46" spans="2:19" s="197" customFormat="1" ht="27.75" customHeight="1">
      <c r="B46" s="188">
        <f t="shared" si="1"/>
        <v>41</v>
      </c>
      <c r="C46" s="189">
        <f>IF(ISBLANK($E46),"",VLOOKUP($E46,Teilnehmer!$B$4:$K$199,2,0))</f>
        <v>1</v>
      </c>
      <c r="D46" s="190">
        <f>IF(ISBLANK($E46),"",VLOOKUP($E46,Teilnehmer!$B$4:$K$199,3,0))</f>
        <v>4</v>
      </c>
      <c r="E46" s="191">
        <v>61</v>
      </c>
      <c r="F46" s="181" t="str">
        <f>IF(ISBLANK($E46),"",VLOOKUP($E46,Teilnehmer!$B$4:$K$199,4,0))</f>
        <v>Schulze Enrico</v>
      </c>
      <c r="G46" s="286">
        <f>IF(ISBLANK($E46),"",VLOOKUP($E46,Teilnehmer!$B$4:$K$199,5,0))</f>
        <v>15209</v>
      </c>
      <c r="H46" s="287" t="str">
        <f>IF(ISBLANK($E46),"",VLOOKUP($E46,Teilnehmer!$B$4:$K$199,6,0))</f>
        <v>Boxenstop Regensburg</v>
      </c>
      <c r="I46" s="181" t="str">
        <f>IF(ISBLANK($E46),"",VLOOKUP($E46,Teilnehmer!$B$4:$K$199,7,0))</f>
        <v>Lockstet Sebastian</v>
      </c>
      <c r="J46" s="286">
        <f>IF(ISBLANK($E46),"",VLOOKUP($E46,Teilnehmer!$B$4:$K$199,8,0))</f>
        <v>14869</v>
      </c>
      <c r="K46" s="287" t="str">
        <f>IF(ISBLANK($E46),"",VLOOKUP($E46,Teilnehmer!$B$4:$K$199,9,0))</f>
        <v>VEB Konsum Genossenschaft Mücheln</v>
      </c>
      <c r="L46" s="315" t="str">
        <f>IF(ISBLANK($E46),"",VLOOKUP($E46,Teilnehmer!$B$4:$K$199,10,0))</f>
        <v>Subaru Impreza</v>
      </c>
      <c r="M46" s="317">
        <f>IF(ISBLANK($E46),"",IFERROR(VLOOKUP(E46,'G1'!$E$6:$P$203,9,0),IFERROR(VLOOKUP(E46,'G2'!$E$6:$P$208,9,0),VLOOKUP(E46,'G3'!$E$6:$P$199,9,0))))</f>
        <v>2.2151388888888734E-2</v>
      </c>
      <c r="N46" s="193"/>
      <c r="O46" s="194">
        <f>IF(ISBLANK($E46),"",IFERROR(VLOOKUP(E46,'G1'!$E$6:$P$203,10,0),IFERROR(VLOOKUP(E46,'G2'!$E$6:$P$208,10,0),VLOOKUP(E46,'G3'!$E$6:$P$199,10,0))))</f>
        <v>13.91</v>
      </c>
      <c r="P46" s="195">
        <f>IF(ISBLANK($E46),"",IFERROR(VLOOKUP(E46,'G1'!$E$6:$P$203,11,0),IFERROR(VLOOKUP(E46,'G2'!$E$6:$P$208,11,0),VLOOKUP(E46,'G3'!$E$6:$P$199,11,0))))</f>
        <v>4.71</v>
      </c>
      <c r="Q46" s="196">
        <f>IF(ISBLANK($E46),"",IFERROR(VLOOKUP(E46,'G1'!$E$6:$P$203,12,0),IFERROR(VLOOKUP(E46,'G2'!$E$6:$P$208,12,0),VLOOKUP(E46,'G3'!$E$6:$P$199,12,0))))</f>
        <v>18.62</v>
      </c>
      <c r="S46" s="198" t="str">
        <f t="shared" si="0"/>
        <v>ok</v>
      </c>
    </row>
    <row r="47" spans="2:19" s="197" customFormat="1" ht="27.75" customHeight="1">
      <c r="B47" s="188">
        <f t="shared" si="1"/>
        <v>42</v>
      </c>
      <c r="C47" s="189">
        <f>IF(ISBLANK($E47),"",VLOOKUP($E47,Teilnehmer!$B$4:$K$199,2,0))</f>
        <v>1</v>
      </c>
      <c r="D47" s="190">
        <f>IF(ISBLANK($E47),"",VLOOKUP($E47,Teilnehmer!$B$4:$K$199,3,0))</f>
        <v>4</v>
      </c>
      <c r="E47" s="191">
        <v>68</v>
      </c>
      <c r="F47" s="181" t="str">
        <f>IF(ISBLANK($E47),"",VLOOKUP($E47,Teilnehmer!$B$4:$K$199,4,0))</f>
        <v>Deisinger Justin</v>
      </c>
      <c r="G47" s="286" t="str">
        <f>IF(ISBLANK($E47),"",VLOOKUP($E47,Teilnehmer!$B$4:$K$199,5,0))</f>
        <v>-</v>
      </c>
      <c r="H47" s="287" t="str">
        <f>IF(ISBLANK($E47),"",VLOOKUP($E47,Teilnehmer!$B$4:$K$199,6,0))</f>
        <v>Deisinger Motorsport</v>
      </c>
      <c r="I47" s="181" t="str">
        <f>IF(ISBLANK($E47),"",VLOOKUP($E47,Teilnehmer!$B$4:$K$199,7,0))</f>
        <v>Ochs Maximilian</v>
      </c>
      <c r="J47" s="286" t="str">
        <f>IF(ISBLANK($E47),"",VLOOKUP($E47,Teilnehmer!$B$4:$K$199,8,0))</f>
        <v>-</v>
      </c>
      <c r="K47" s="287" t="str">
        <f>IF(ISBLANK($E47),"",VLOOKUP($E47,Teilnehmer!$B$4:$K$199,9,0))</f>
        <v>Deisinger Motorsport</v>
      </c>
      <c r="L47" s="315" t="str">
        <f>IF(ISBLANK($E47),"",VLOOKUP($E47,Teilnehmer!$B$4:$K$199,10,0))</f>
        <v>Opel Kadett E GSi</v>
      </c>
      <c r="M47" s="317">
        <f>IF(ISBLANK($E47),"",IFERROR(VLOOKUP(E47,'G1'!$E$6:$P$203,9,0),IFERROR(VLOOKUP(E47,'G2'!$E$6:$P$208,9,0),VLOOKUP(E47,'G3'!$E$6:$P$199,9,0))))</f>
        <v>2.2297685185185268E-2</v>
      </c>
      <c r="N47" s="193"/>
      <c r="O47" s="194">
        <f>IF(ISBLANK($E47),"",IFERROR(VLOOKUP(E47,'G1'!$E$6:$P$203,10,0),IFERROR(VLOOKUP(E47,'G2'!$E$6:$P$208,10,0),VLOOKUP(E47,'G3'!$E$6:$P$199,10,0))))</f>
        <v>12.09</v>
      </c>
      <c r="P47" s="195">
        <f>IF(ISBLANK($E47),"",IFERROR(VLOOKUP(E47,'G1'!$E$6:$P$203,11,0),IFERROR(VLOOKUP(E47,'G2'!$E$6:$P$208,11,0),VLOOKUP(E47,'G3'!$E$6:$P$199,11,0))))</f>
        <v>4.12</v>
      </c>
      <c r="Q47" s="196">
        <f>IF(ISBLANK($E47),"",IFERROR(VLOOKUP(E47,'G1'!$E$6:$P$203,12,0),IFERROR(VLOOKUP(E47,'G2'!$E$6:$P$208,12,0),VLOOKUP(E47,'G3'!$E$6:$P$199,12,0))))</f>
        <v>16.21</v>
      </c>
      <c r="S47" s="198" t="str">
        <f t="shared" si="0"/>
        <v>ok</v>
      </c>
    </row>
    <row r="48" spans="2:19" s="197" customFormat="1" ht="27.75" customHeight="1">
      <c r="B48" s="188">
        <f t="shared" si="1"/>
        <v>43</v>
      </c>
      <c r="C48" s="189">
        <f>IF(ISBLANK($E48),"",VLOOKUP($E48,Teilnehmer!$B$4:$K$199,2,0))</f>
        <v>1</v>
      </c>
      <c r="D48" s="190">
        <f>IF(ISBLANK($E48),"",VLOOKUP($E48,Teilnehmer!$B$4:$K$199,3,0))</f>
        <v>4</v>
      </c>
      <c r="E48" s="191">
        <v>64</v>
      </c>
      <c r="F48" s="181" t="str">
        <f>IF(ISBLANK($E48),"",VLOOKUP($E48,Teilnehmer!$B$4:$K$199,4,0))</f>
        <v>Leidel Stefan</v>
      </c>
      <c r="G48" s="286">
        <f>IF(ISBLANK($E48),"",VLOOKUP($E48,Teilnehmer!$B$4:$K$199,5,0))</f>
        <v>15498</v>
      </c>
      <c r="H48" s="287" t="str">
        <f>IF(ISBLANK($E48),"",VLOOKUP($E48,Teilnehmer!$B$4:$K$199,6,0))</f>
        <v>-</v>
      </c>
      <c r="I48" s="181" t="str">
        <f>IF(ISBLANK($E48),"",VLOOKUP($E48,Teilnehmer!$B$4:$K$199,7,0))</f>
        <v>Nemeth Christian</v>
      </c>
      <c r="J48" s="286">
        <f>IF(ISBLANK($E48),"",VLOOKUP($E48,Teilnehmer!$B$4:$K$199,8,0))</f>
        <v>16424</v>
      </c>
      <c r="K48" s="287" t="str">
        <f>IF(ISBLANK($E48),"",VLOOKUP($E48,Teilnehmer!$B$4:$K$199,9,0))</f>
        <v>-</v>
      </c>
      <c r="L48" s="315" t="str">
        <f>IF(ISBLANK($E48),"",VLOOKUP($E48,Teilnehmer!$B$4:$K$199,10,0))</f>
        <v>BMW E30 318IS</v>
      </c>
      <c r="M48" s="317">
        <f>IF(ISBLANK($E48),"",IFERROR(VLOOKUP(E48,'G1'!$E$6:$P$203,9,0),IFERROR(VLOOKUP(E48,'G2'!$E$6:$P$208,9,0),VLOOKUP(E48,'G3'!$E$6:$P$199,9,0))))</f>
        <v>2.2403819444444584E-2</v>
      </c>
      <c r="N48" s="193"/>
      <c r="O48" s="194">
        <f>IF(ISBLANK($E48),"",IFERROR(VLOOKUP(E48,'G1'!$E$6:$P$203,10,0),IFERROR(VLOOKUP(E48,'G2'!$E$6:$P$208,10,0),VLOOKUP(E48,'G3'!$E$6:$P$199,10,0))))</f>
        <v>10.27</v>
      </c>
      <c r="P48" s="195">
        <f>IF(ISBLANK($E48),"",IFERROR(VLOOKUP(E48,'G1'!$E$6:$P$203,11,0),IFERROR(VLOOKUP(E48,'G2'!$E$6:$P$208,11,0),VLOOKUP(E48,'G3'!$E$6:$P$199,11,0))))</f>
        <v>3.53</v>
      </c>
      <c r="Q48" s="196">
        <f>IF(ISBLANK($E48),"",IFERROR(VLOOKUP(E48,'G1'!$E$6:$P$203,12,0),IFERROR(VLOOKUP(E48,'G2'!$E$6:$P$208,12,0),VLOOKUP(E48,'G3'!$E$6:$P$199,12,0))))</f>
        <v>13.8</v>
      </c>
      <c r="S48" s="198" t="str">
        <f t="shared" si="0"/>
        <v>ok</v>
      </c>
    </row>
    <row r="49" spans="2:19" s="197" customFormat="1" ht="27.75" customHeight="1">
      <c r="B49" s="188">
        <f t="shared" si="1"/>
        <v>44</v>
      </c>
      <c r="C49" s="189">
        <f>IF(ISBLANK($E49),"",VLOOKUP($E49,Teilnehmer!$B$4:$K$199,2,0))</f>
        <v>2</v>
      </c>
      <c r="D49" s="190">
        <f>IF(ISBLANK($E49),"",VLOOKUP($E49,Teilnehmer!$B$4:$K$199,3,0))</f>
        <v>10</v>
      </c>
      <c r="E49" s="191">
        <v>17</v>
      </c>
      <c r="F49" s="181" t="str">
        <f>IF(ISBLANK($E49),"",VLOOKUP($E49,Teilnehmer!$B$4:$K$199,4,0))</f>
        <v>Müller Werner</v>
      </c>
      <c r="G49" s="286" t="str">
        <f>IF(ISBLANK($E49),"",VLOOKUP($E49,Teilnehmer!$B$4:$K$199,5,0))</f>
        <v>-</v>
      </c>
      <c r="H49" s="287" t="str">
        <f>IF(ISBLANK($E49),"",VLOOKUP($E49,Teilnehmer!$B$4:$K$199,6,0))</f>
        <v>MSC Emmersdorf</v>
      </c>
      <c r="I49" s="181" t="str">
        <f>IF(ISBLANK($E49),"",VLOOKUP($E49,Teilnehmer!$B$4:$K$199,7,0))</f>
        <v>Trabs Jasmin</v>
      </c>
      <c r="J49" s="286" t="str">
        <f>IF(ISBLANK($E49),"",VLOOKUP($E49,Teilnehmer!$B$4:$K$199,8,0))</f>
        <v>-</v>
      </c>
      <c r="K49" s="287" t="str">
        <f>IF(ISBLANK($E49),"",VLOOKUP($E49,Teilnehmer!$B$4:$K$199,9,0))</f>
        <v>MSC Emmersdorf</v>
      </c>
      <c r="L49" s="315" t="str">
        <f>IF(ISBLANK($E49),"",VLOOKUP($E49,Teilnehmer!$B$4:$K$199,10,0))</f>
        <v>BMW BMW M3</v>
      </c>
      <c r="M49" s="317">
        <f>IF(ISBLANK($E49),"",IFERROR(VLOOKUP(E49,'G1'!$E$6:$P$203,9,0),IFERROR(VLOOKUP(E49,'G2'!$E$6:$P$208,9,0),VLOOKUP(E49,'G3'!$E$6:$P$199,9,0))))</f>
        <v>2.2599884259259073E-2</v>
      </c>
      <c r="N49" s="193"/>
      <c r="O49" s="194">
        <f>IF(ISBLANK($E49),"",IFERROR(VLOOKUP(E49,'G1'!$E$6:$P$203,10,0),IFERROR(VLOOKUP(E49,'G2'!$E$6:$P$208,10,0),VLOOKUP(E49,'G3'!$E$6:$P$199,10,0))))</f>
        <v>13</v>
      </c>
      <c r="P49" s="195">
        <f>IF(ISBLANK($E49),"",IFERROR(VLOOKUP(E49,'G1'!$E$6:$P$203,11,0),IFERROR(VLOOKUP(E49,'G2'!$E$6:$P$208,11,0),VLOOKUP(E49,'G3'!$E$6:$P$199,11,0))))</f>
        <v>4.29</v>
      </c>
      <c r="Q49" s="196">
        <f>IF(ISBLANK($E49),"",IFERROR(VLOOKUP(E49,'G1'!$E$6:$P$203,12,0),IFERROR(VLOOKUP(E49,'G2'!$E$6:$P$208,12,0),VLOOKUP(E49,'G3'!$E$6:$P$199,12,0))))</f>
        <v>17.29</v>
      </c>
      <c r="S49" s="198" t="str">
        <f t="shared" si="0"/>
        <v>ok</v>
      </c>
    </row>
    <row r="50" spans="2:19" s="197" customFormat="1" ht="27.75" customHeight="1">
      <c r="B50" s="188">
        <f t="shared" si="1"/>
        <v>45</v>
      </c>
      <c r="C50" s="189">
        <f>IF(ISBLANK($E50),"",VLOOKUP($E50,Teilnehmer!$B$4:$K$199,2,0))</f>
        <v>1</v>
      </c>
      <c r="D50" s="190">
        <f>IF(ISBLANK($E50),"",VLOOKUP($E50,Teilnehmer!$B$4:$K$199,3,0))</f>
        <v>5</v>
      </c>
      <c r="E50" s="191">
        <v>58</v>
      </c>
      <c r="F50" s="181" t="str">
        <f>IF(ISBLANK($E50),"",VLOOKUP($E50,Teilnehmer!$B$4:$K$199,4,0))</f>
        <v>Kühnlein Matthias</v>
      </c>
      <c r="G50" s="286">
        <f>IF(ISBLANK($E50),"",VLOOKUP($E50,Teilnehmer!$B$4:$K$199,5,0))</f>
        <v>16416</v>
      </c>
      <c r="H50" s="287" t="str">
        <f>IF(ISBLANK($E50),"",VLOOKUP($E50,Teilnehmer!$B$4:$K$199,6,0))</f>
        <v>AC Gunzenhausen</v>
      </c>
      <c r="I50" s="181" t="str">
        <f>IF(ISBLANK($E50),"",VLOOKUP($E50,Teilnehmer!$B$4:$K$199,7,0))</f>
        <v>Funk Christian</v>
      </c>
      <c r="J50" s="286">
        <f>IF(ISBLANK($E50),"",VLOOKUP($E50,Teilnehmer!$B$4:$K$199,8,0))</f>
        <v>13818</v>
      </c>
      <c r="K50" s="287" t="str">
        <f>IF(ISBLANK($E50),"",VLOOKUP($E50,Teilnehmer!$B$4:$K$199,9,0))</f>
        <v>AC Gunzenhausen</v>
      </c>
      <c r="L50" s="315" t="str">
        <f>IF(ISBLANK($E50),"",VLOOKUP($E50,Teilnehmer!$B$4:$K$199,10,0))</f>
        <v>Mercedes-Benz C230 Sportcoupe</v>
      </c>
      <c r="M50" s="317">
        <f>IF(ISBLANK($E50),"",IFERROR(VLOOKUP(E50,'G1'!$E$6:$P$203,9,0),IFERROR(VLOOKUP(E50,'G2'!$E$6:$P$208,9,0),VLOOKUP(E50,'G3'!$E$6:$P$199,9,0))))</f>
        <v>2.272395833333346E-2</v>
      </c>
      <c r="N50" s="193"/>
      <c r="O50" s="194">
        <f>IF(ISBLANK($E50),"",IFERROR(VLOOKUP(E50,'G1'!$E$6:$P$203,10,0),IFERROR(VLOOKUP(E50,'G2'!$E$6:$P$208,10,0),VLOOKUP(E50,'G3'!$E$6:$P$199,10,0))))</f>
        <v>9.67</v>
      </c>
      <c r="P50" s="195">
        <f>IF(ISBLANK($E50),"",IFERROR(VLOOKUP(E50,'G1'!$E$6:$P$203,11,0),IFERROR(VLOOKUP(E50,'G2'!$E$6:$P$208,11,0),VLOOKUP(E50,'G3'!$E$6:$P$199,11,0))))</f>
        <v>2.94</v>
      </c>
      <c r="Q50" s="196">
        <f>IF(ISBLANK($E50),"",IFERROR(VLOOKUP(E50,'G1'!$E$6:$P$203,12,0),IFERROR(VLOOKUP(E50,'G2'!$E$6:$P$208,12,0),VLOOKUP(E50,'G3'!$E$6:$P$199,12,0))))</f>
        <v>12.61</v>
      </c>
      <c r="S50" s="198" t="str">
        <f t="shared" si="0"/>
        <v>ok</v>
      </c>
    </row>
    <row r="51" spans="2:19" s="197" customFormat="1" ht="27.75" customHeight="1">
      <c r="B51" s="188">
        <f t="shared" si="1"/>
        <v>46</v>
      </c>
      <c r="C51" s="189">
        <f>IF(ISBLANK($E51),"",VLOOKUP($E51,Teilnehmer!$B$4:$K$199,2,0))</f>
        <v>1</v>
      </c>
      <c r="D51" s="190">
        <f>IF(ISBLANK($E51),"",VLOOKUP($E51,Teilnehmer!$B$4:$K$199,3,0))</f>
        <v>4</v>
      </c>
      <c r="E51" s="191">
        <v>71</v>
      </c>
      <c r="F51" s="181" t="str">
        <f>IF(ISBLANK($E51),"",VLOOKUP($E51,Teilnehmer!$B$4:$K$199,4,0))</f>
        <v>Ateia Tarek</v>
      </c>
      <c r="G51" s="286" t="str">
        <f>IF(ISBLANK($E51),"",VLOOKUP($E51,Teilnehmer!$B$4:$K$199,5,0))</f>
        <v>-</v>
      </c>
      <c r="H51" s="287" t="str">
        <f>IF(ISBLANK($E51),"",VLOOKUP($E51,Teilnehmer!$B$4:$K$199,6,0))</f>
        <v>-</v>
      </c>
      <c r="I51" s="181" t="str">
        <f>IF(ISBLANK($E51),"",VLOOKUP($E51,Teilnehmer!$B$4:$K$199,7,0))</f>
        <v>Spiske Andreas</v>
      </c>
      <c r="J51" s="286" t="str">
        <f>IF(ISBLANK($E51),"",VLOOKUP($E51,Teilnehmer!$B$4:$K$199,8,0))</f>
        <v>-</v>
      </c>
      <c r="K51" s="287" t="str">
        <f>IF(ISBLANK($E51),"",VLOOKUP($E51,Teilnehmer!$B$4:$K$199,9,0))</f>
        <v>-</v>
      </c>
      <c r="L51" s="315" t="str">
        <f>IF(ISBLANK($E51),"",VLOOKUP($E51,Teilnehmer!$B$4:$K$199,10,0))</f>
        <v>BMW 318ti</v>
      </c>
      <c r="M51" s="317">
        <f>IF(ISBLANK($E51),"",IFERROR(VLOOKUP(E51,'G1'!$E$6:$P$203,9,0),IFERROR(VLOOKUP(E51,'G2'!$E$6:$P$208,9,0),VLOOKUP(E51,'G3'!$E$6:$P$199,9,0))))</f>
        <v>2.2732291666666463E-2</v>
      </c>
      <c r="N51" s="193"/>
      <c r="O51" s="194">
        <f>IF(ISBLANK($E51),"",IFERROR(VLOOKUP(E51,'G1'!$E$6:$P$203,10,0),IFERROR(VLOOKUP(E51,'G2'!$E$6:$P$208,10,0),VLOOKUP(E51,'G3'!$E$6:$P$199,10,0))))</f>
        <v>8.4499999999999993</v>
      </c>
      <c r="P51" s="195">
        <f>IF(ISBLANK($E51),"",IFERROR(VLOOKUP(E51,'G1'!$E$6:$P$203,11,0),IFERROR(VLOOKUP(E51,'G2'!$E$6:$P$208,11,0),VLOOKUP(E51,'G3'!$E$6:$P$199,11,0))))</f>
        <v>2.35</v>
      </c>
      <c r="Q51" s="196">
        <f>IF(ISBLANK($E51),"",IFERROR(VLOOKUP(E51,'G1'!$E$6:$P$203,12,0),IFERROR(VLOOKUP(E51,'G2'!$E$6:$P$208,12,0),VLOOKUP(E51,'G3'!$E$6:$P$199,12,0))))</f>
        <v>10.8</v>
      </c>
      <c r="S51" s="198" t="str">
        <f t="shared" si="0"/>
        <v>ok</v>
      </c>
    </row>
    <row r="52" spans="2:19" s="197" customFormat="1" ht="27.75" customHeight="1">
      <c r="B52" s="188">
        <f t="shared" si="1"/>
        <v>47</v>
      </c>
      <c r="C52" s="189">
        <f>IF(ISBLANK($E52),"",VLOOKUP($E52,Teilnehmer!$B$4:$K$199,2,0))</f>
        <v>2</v>
      </c>
      <c r="D52" s="190">
        <f>IF(ISBLANK($E52),"",VLOOKUP($E52,Teilnehmer!$B$4:$K$199,3,0))</f>
        <v>8</v>
      </c>
      <c r="E52" s="191">
        <v>41</v>
      </c>
      <c r="F52" s="181" t="str">
        <f>IF(ISBLANK($E52),"",VLOOKUP($E52,Teilnehmer!$B$4:$K$199,4,0))</f>
        <v>Lange Kay Mario Oliver</v>
      </c>
      <c r="G52" s="286">
        <f>IF(ISBLANK($E52),"",VLOOKUP($E52,Teilnehmer!$B$4:$K$199,5,0))</f>
        <v>14751</v>
      </c>
      <c r="H52" s="287" t="str">
        <f>IF(ISBLANK($E52),"",VLOOKUP($E52,Teilnehmer!$B$4:$K$199,6,0))</f>
        <v>MSC Mamming</v>
      </c>
      <c r="I52" s="181" t="str">
        <f>IF(ISBLANK($E52),"",VLOOKUP($E52,Teilnehmer!$B$4:$K$199,7,0))</f>
        <v>Lange Nina</v>
      </c>
      <c r="J52" s="286">
        <f>IF(ISBLANK($E52),"",VLOOKUP($E52,Teilnehmer!$B$4:$K$199,8,0))</f>
        <v>15055</v>
      </c>
      <c r="K52" s="287" t="str">
        <f>IF(ISBLANK($E52),"",VLOOKUP($E52,Teilnehmer!$B$4:$K$199,9,0))</f>
        <v>MSC Mamming</v>
      </c>
      <c r="L52" s="315" t="str">
        <f>IF(ISBLANK($E52),"",VLOOKUP($E52,Teilnehmer!$B$4:$K$199,10,0))</f>
        <v>Honda Civic</v>
      </c>
      <c r="M52" s="317">
        <f>IF(ISBLANK($E52),"",IFERROR(VLOOKUP(E52,'G1'!$E$6:$P$203,9,0),IFERROR(VLOOKUP(E52,'G2'!$E$6:$P$208,9,0),VLOOKUP(E52,'G3'!$E$6:$P$199,9,0))))</f>
        <v>2.3927546296296065E-2</v>
      </c>
      <c r="N52" s="193"/>
      <c r="O52" s="194">
        <f>IF(ISBLANK($E52),"",IFERROR(VLOOKUP(E52,'G1'!$E$6:$P$203,10,0),IFERROR(VLOOKUP(E52,'G2'!$E$6:$P$208,10,0),VLOOKUP(E52,'G3'!$E$6:$P$199,10,0))))</f>
        <v>10.27</v>
      </c>
      <c r="P52" s="195">
        <f>IF(ISBLANK($E52),"",IFERROR(VLOOKUP(E52,'G1'!$E$6:$P$203,11,0),IFERROR(VLOOKUP(E52,'G2'!$E$6:$P$208,11,0),VLOOKUP(E52,'G3'!$E$6:$P$199,11,0))))</f>
        <v>4.05</v>
      </c>
      <c r="Q52" s="196">
        <f>IF(ISBLANK($E52),"",IFERROR(VLOOKUP(E52,'G1'!$E$6:$P$203,12,0),IFERROR(VLOOKUP(E52,'G2'!$E$6:$P$208,12,0),VLOOKUP(E52,'G3'!$E$6:$P$199,12,0))))</f>
        <v>14.32</v>
      </c>
      <c r="S52" s="198" t="str">
        <f t="shared" si="0"/>
        <v>ok</v>
      </c>
    </row>
    <row r="53" spans="2:19" s="197" customFormat="1" ht="27.75" customHeight="1">
      <c r="B53" s="188">
        <f t="shared" si="1"/>
        <v>48</v>
      </c>
      <c r="C53" s="189">
        <f>IF(ISBLANK($E53),"",VLOOKUP($E53,Teilnehmer!$B$4:$K$199,2,0))</f>
        <v>2</v>
      </c>
      <c r="D53" s="190">
        <f>IF(ISBLANK($E53),"",VLOOKUP($E53,Teilnehmer!$B$4:$K$199,3,0))</f>
        <v>8</v>
      </c>
      <c r="E53" s="191">
        <v>45</v>
      </c>
      <c r="F53" s="181" t="str">
        <f>IF(ISBLANK($E53),"",VLOOKUP($E53,Teilnehmer!$B$4:$K$199,4,0))</f>
        <v>Preis sen. Gerhard</v>
      </c>
      <c r="G53" s="286" t="str">
        <f>IF(ISBLANK($E53),"",VLOOKUP($E53,Teilnehmer!$B$4:$K$199,5,0))</f>
        <v>-</v>
      </c>
      <c r="H53" s="287" t="str">
        <f>IF(ISBLANK($E53),"",VLOOKUP($E53,Teilnehmer!$B$4:$K$199,6,0))</f>
        <v>-</v>
      </c>
      <c r="I53" s="181" t="str">
        <f>IF(ISBLANK($E53),"",VLOOKUP($E53,Teilnehmer!$B$4:$K$199,7,0))</f>
        <v>Ilgmeier Erwin</v>
      </c>
      <c r="J53" s="286" t="str">
        <f>IF(ISBLANK($E53),"",VLOOKUP($E53,Teilnehmer!$B$4:$K$199,8,0))</f>
        <v>-</v>
      </c>
      <c r="K53" s="287" t="str">
        <f>IF(ISBLANK($E53),"",VLOOKUP($E53,Teilnehmer!$B$4:$K$199,9,0))</f>
        <v>-</v>
      </c>
      <c r="L53" s="315" t="str">
        <f>IF(ISBLANK($E53),"",VLOOKUP($E53,Teilnehmer!$B$4:$K$199,10,0))</f>
        <v>Peugeot 206</v>
      </c>
      <c r="M53" s="317">
        <f>IF(ISBLANK($E53),"",IFERROR(VLOOKUP(E53,'G1'!$E$6:$P$203,9,0),IFERROR(VLOOKUP(E53,'G2'!$E$6:$P$208,9,0),VLOOKUP(E53,'G3'!$E$6:$P$199,9,0))))</f>
        <v>2.8420486111111344E-2</v>
      </c>
      <c r="N53" s="193"/>
      <c r="O53" s="194">
        <f>IF(ISBLANK($E53),"",IFERROR(VLOOKUP(E53,'G1'!$E$6:$P$203,10,0),IFERROR(VLOOKUP(E53,'G2'!$E$6:$P$208,10,0),VLOOKUP(E53,'G3'!$E$6:$P$199,10,0))))</f>
        <v>8.4499999999999993</v>
      </c>
      <c r="P53" s="195">
        <f>IF(ISBLANK($E53),"",IFERROR(VLOOKUP(E53,'G1'!$E$6:$P$203,11,0),IFERROR(VLOOKUP(E53,'G2'!$E$6:$P$208,11,0),VLOOKUP(E53,'G3'!$E$6:$P$199,11,0))))</f>
        <v>3.81</v>
      </c>
      <c r="Q53" s="196">
        <f>IF(ISBLANK($E53),"",IFERROR(VLOOKUP(E53,'G1'!$E$6:$P$203,12,0),IFERROR(VLOOKUP(E53,'G2'!$E$6:$P$208,12,0),VLOOKUP(E53,'G3'!$E$6:$P$199,12,0))))</f>
        <v>12.26</v>
      </c>
      <c r="S53" s="198" t="str">
        <f t="shared" si="0"/>
        <v>ok</v>
      </c>
    </row>
    <row r="54" spans="2:19" s="197" customFormat="1" ht="27.75" customHeight="1">
      <c r="B54" s="188">
        <f t="shared" si="1"/>
        <v>49</v>
      </c>
      <c r="C54" s="189">
        <f>IF(ISBLANK($E54),"",VLOOKUP($E54,Teilnehmer!$B$4:$K$199,2,0))</f>
        <v>2</v>
      </c>
      <c r="D54" s="190">
        <f>IF(ISBLANK($E54),"",VLOOKUP($E54,Teilnehmer!$B$4:$K$199,3,0))</f>
        <v>10</v>
      </c>
      <c r="E54" s="191">
        <v>19</v>
      </c>
      <c r="F54" s="181" t="str">
        <f>IF(ISBLANK($E54),"",VLOOKUP($E54,Teilnehmer!$B$4:$K$199,4,0))</f>
        <v>Stangl Mathias</v>
      </c>
      <c r="G54" s="286">
        <f>IF(ISBLANK($E54),"",VLOOKUP($E54,Teilnehmer!$B$4:$K$199,5,0))</f>
        <v>16636</v>
      </c>
      <c r="H54" s="287" t="str">
        <f>IF(ISBLANK($E54),"",VLOOKUP($E54,Teilnehmer!$B$4:$K$199,6,0))</f>
        <v>-</v>
      </c>
      <c r="I54" s="181" t="str">
        <f>IF(ISBLANK($E54),"",VLOOKUP($E54,Teilnehmer!$B$4:$K$199,7,0))</f>
        <v>Stangl Michael</v>
      </c>
      <c r="J54" s="286">
        <f>IF(ISBLANK($E54),"",VLOOKUP($E54,Teilnehmer!$B$4:$K$199,8,0))</f>
        <v>16635</v>
      </c>
      <c r="K54" s="287" t="str">
        <f>IF(ISBLANK($E54),"",VLOOKUP($E54,Teilnehmer!$B$4:$K$199,9,0))</f>
        <v>-</v>
      </c>
      <c r="L54" s="315" t="str">
        <f>IF(ISBLANK($E54),"",VLOOKUP($E54,Teilnehmer!$B$4:$K$199,10,0))</f>
        <v>BMW 320I (e36)</v>
      </c>
      <c r="M54" s="317">
        <f>IF(ISBLANK($E54),"",IFERROR(VLOOKUP(E54,'G1'!$E$6:$P$203,9,0),IFERROR(VLOOKUP(E54,'G2'!$E$6:$P$208,9,0),VLOOKUP(E54,'G3'!$E$6:$P$199,9,0))))</f>
        <v>2.9641666666666604E-2</v>
      </c>
      <c r="N54" s="193"/>
      <c r="O54" s="194">
        <f>IF(ISBLANK($E54),"",IFERROR(VLOOKUP(E54,'G1'!$E$6:$P$203,10,0),IFERROR(VLOOKUP(E54,'G2'!$E$6:$P$208,10,0),VLOOKUP(E54,'G3'!$E$6:$P$199,10,0))))</f>
        <v>10.5</v>
      </c>
      <c r="P54" s="195">
        <f>IF(ISBLANK($E54),"",IFERROR(VLOOKUP(E54,'G1'!$E$6:$P$203,11,0),IFERROR(VLOOKUP(E54,'G2'!$E$6:$P$208,11,0),VLOOKUP(E54,'G3'!$E$6:$P$199,11,0))))</f>
        <v>3.57</v>
      </c>
      <c r="Q54" s="196">
        <f>IF(ISBLANK($E54),"",IFERROR(VLOOKUP(E54,'G1'!$E$6:$P$203,12,0),IFERROR(VLOOKUP(E54,'G2'!$E$6:$P$208,12,0),VLOOKUP(E54,'G3'!$E$6:$P$199,12,0))))</f>
        <v>14.07</v>
      </c>
      <c r="S54" s="198" t="str">
        <f t="shared" si="0"/>
        <v>ok</v>
      </c>
    </row>
    <row r="55" spans="2:19" s="197" customFormat="1" ht="27.75" customHeight="1">
      <c r="B55" s="188">
        <f t="shared" si="1"/>
        <v>50</v>
      </c>
      <c r="C55" s="189">
        <f>IF(ISBLANK($E55),"",VLOOKUP($E55,Teilnehmer!$B$4:$K$199,2,0))</f>
        <v>2</v>
      </c>
      <c r="D55" s="190">
        <f>IF(ISBLANK($E55),"",VLOOKUP($E55,Teilnehmer!$B$4:$K$199,3,0))</f>
        <v>7</v>
      </c>
      <c r="E55" s="191">
        <v>52</v>
      </c>
      <c r="F55" s="181" t="str">
        <f>IF(ISBLANK($E55),"",VLOOKUP($E55,Teilnehmer!$B$4:$K$199,4,0))</f>
        <v>Thiel Rainer</v>
      </c>
      <c r="G55" s="286">
        <f>IF(ISBLANK($E55),"",VLOOKUP($E55,Teilnehmer!$B$4:$K$199,5,0))</f>
        <v>12291</v>
      </c>
      <c r="H55" s="287" t="str">
        <f>IF(ISBLANK($E55),"",VLOOKUP($E55,Teilnehmer!$B$4:$K$199,6,0))</f>
        <v>MSC Jura</v>
      </c>
      <c r="I55" s="181" t="str">
        <f>IF(ISBLANK($E55),"",VLOOKUP($E55,Teilnehmer!$B$4:$K$199,7,0))</f>
        <v>Thiel Daniel</v>
      </c>
      <c r="J55" s="286">
        <f>IF(ISBLANK($E55),"",VLOOKUP($E55,Teilnehmer!$B$4:$K$199,8,0))</f>
        <v>15785</v>
      </c>
      <c r="K55" s="287" t="str">
        <f>IF(ISBLANK($E55),"",VLOOKUP($E55,Teilnehmer!$B$4:$K$199,9,0))</f>
        <v>-</v>
      </c>
      <c r="L55" s="315" t="str">
        <f>IF(ISBLANK($E55),"",VLOOKUP($E55,Teilnehmer!$B$4:$K$199,10,0))</f>
        <v>FIAT Panda</v>
      </c>
      <c r="M55" s="317">
        <f>IF(ISBLANK($E55),"",IFERROR(VLOOKUP(E55,'G1'!$E$6:$P$203,9,0),IFERROR(VLOOKUP(E55,'G2'!$E$6:$P$208,9,0),VLOOKUP(E55,'G3'!$E$6:$P$199,9,0))))</f>
        <v>3.3942129629629572E-2</v>
      </c>
      <c r="N55" s="193"/>
      <c r="O55" s="194">
        <f>IF(ISBLANK($E55),"",IFERROR(VLOOKUP(E55,'G1'!$E$6:$P$203,10,0),IFERROR(VLOOKUP(E55,'G2'!$E$6:$P$208,10,0),VLOOKUP(E55,'G3'!$E$6:$P$199,10,0))))</f>
        <v>16.329999999999998</v>
      </c>
      <c r="P55" s="195">
        <f>IF(ISBLANK($E55),"",IFERROR(VLOOKUP(E55,'G1'!$E$6:$P$203,11,0),IFERROR(VLOOKUP(E55,'G2'!$E$6:$P$208,11,0),VLOOKUP(E55,'G3'!$E$6:$P$199,11,0))))</f>
        <v>3.33</v>
      </c>
      <c r="Q55" s="196">
        <f>IF(ISBLANK($E55),"",IFERROR(VLOOKUP(E55,'G1'!$E$6:$P$203,12,0),IFERROR(VLOOKUP(E55,'G2'!$E$6:$P$208,12,0),VLOOKUP(E55,'G3'!$E$6:$P$199,12,0))))</f>
        <v>19.66</v>
      </c>
      <c r="S55" s="198" t="str">
        <f t="shared" si="0"/>
        <v>ok</v>
      </c>
    </row>
    <row r="56" spans="2:19" s="197" customFormat="1" ht="27.75" customHeight="1">
      <c r="B56" s="188">
        <f t="shared" si="1"/>
        <v>51</v>
      </c>
      <c r="C56" s="189">
        <f>IF(ISBLANK($E56),"",VLOOKUP($E56,Teilnehmer!$B$4:$K$199,2,0))</f>
        <v>3</v>
      </c>
      <c r="D56" s="190">
        <f>IF(ISBLANK($E56),"",VLOOKUP($E56,Teilnehmer!$B$4:$K$199,3,0))</f>
        <v>11</v>
      </c>
      <c r="E56" s="191">
        <v>8</v>
      </c>
      <c r="F56" s="181" t="str">
        <f>IF(ISBLANK($E56),"",VLOOKUP($E56,Teilnehmer!$B$4:$K$199,4,0))</f>
        <v>Wallner Jakob</v>
      </c>
      <c r="G56" s="286" t="str">
        <f>IF(ISBLANK($E56),"",VLOOKUP($E56,Teilnehmer!$B$4:$K$199,5,0))</f>
        <v>-</v>
      </c>
      <c r="H56" s="287" t="str">
        <f>IF(ISBLANK($E56),"",VLOOKUP($E56,Teilnehmer!$B$4:$K$199,6,0))</f>
        <v>MSC Kitzbühel</v>
      </c>
      <c r="I56" s="181" t="str">
        <f>IF(ISBLANK($E56),"",VLOOKUP($E56,Teilnehmer!$B$4:$K$199,7,0))</f>
        <v>Pail Julia</v>
      </c>
      <c r="J56" s="286" t="str">
        <f>IF(ISBLANK($E56),"",VLOOKUP($E56,Teilnehmer!$B$4:$K$199,8,0))</f>
        <v>-</v>
      </c>
      <c r="K56" s="287" t="str">
        <f>IF(ISBLANK($E56),"",VLOOKUP($E56,Teilnehmer!$B$4:$K$199,9,0))</f>
        <v>MSC Kitzbühel</v>
      </c>
      <c r="L56" s="315" t="str">
        <f>IF(ISBLANK($E56),"",VLOOKUP($E56,Teilnehmer!$B$4:$K$199,10,0))</f>
        <v>Lancia Delta integrale 16v</v>
      </c>
      <c r="M56" s="317" t="str">
        <f>IF(ISBLANK($E56),"",IFERROR(VLOOKUP(E56,'G1'!$E$6:$P$203,9,0),IFERROR(VLOOKUP(E56,'G2'!$E$6:$P$208,9,0),VLOOKUP(E56,'G3'!$E$6:$P$199,9,0))))</f>
        <v>ADW</v>
      </c>
      <c r="N56" s="193"/>
      <c r="O56" s="194">
        <f>IF(ISBLANK($E56),"",IFERROR(VLOOKUP(E56,'G1'!$E$6:$P$203,10,0),IFERROR(VLOOKUP(E56,'G2'!$E$6:$P$208,10,0),VLOOKUP(E56,'G3'!$E$6:$P$199,10,0))))</f>
        <v>0</v>
      </c>
      <c r="P56" s="195">
        <f>IF(ISBLANK($E56),"",IFERROR(VLOOKUP(E56,'G1'!$E$6:$P$203,11,0),IFERROR(VLOOKUP(E56,'G2'!$E$6:$P$208,11,0),VLOOKUP(E56,'G3'!$E$6:$P$199,11,0))))</f>
        <v>0</v>
      </c>
      <c r="Q56" s="196">
        <f>IF(ISBLANK($E56),"",IFERROR(VLOOKUP(E56,'G1'!$E$6:$P$203,12,0),IFERROR(VLOOKUP(E56,'G2'!$E$6:$P$208,12,0),VLOOKUP(E56,'G3'!$E$6:$P$199,12,0))))</f>
        <v>0</v>
      </c>
      <c r="S56" s="198" t="str">
        <f t="shared" si="0"/>
        <v>Sortierung A bis Z</v>
      </c>
    </row>
    <row r="57" spans="2:19" s="197" customFormat="1" ht="27.75" customHeight="1">
      <c r="B57" s="188">
        <f t="shared" si="1"/>
        <v>52</v>
      </c>
      <c r="C57" s="189">
        <f>IF(ISBLANK($E57),"",VLOOKUP($E57,Teilnehmer!$B$4:$K$199,2,0))</f>
        <v>3</v>
      </c>
      <c r="D57" s="190">
        <f>IF(ISBLANK($E57),"",VLOOKUP($E57,Teilnehmer!$B$4:$K$199,3,0))</f>
        <v>11</v>
      </c>
      <c r="E57" s="191">
        <v>4</v>
      </c>
      <c r="F57" s="181" t="str">
        <f>IF(ISBLANK($E57),"",VLOOKUP($E57,Teilnehmer!$B$4:$K$199,4,0))</f>
        <v>Rader Manfred</v>
      </c>
      <c r="G57" s="286">
        <f>IF(ISBLANK($E57),"",VLOOKUP($E57,Teilnehmer!$B$4:$K$199,5,0))</f>
        <v>15053</v>
      </c>
      <c r="H57" s="287" t="str">
        <f>IF(ISBLANK($E57),"",VLOOKUP($E57,Teilnehmer!$B$4:$K$199,6,0))</f>
        <v>-</v>
      </c>
      <c r="I57" s="181" t="str">
        <f>IF(ISBLANK($E57),"",VLOOKUP($E57,Teilnehmer!$B$4:$K$199,7,0))</f>
        <v>Hierbeck Andreas</v>
      </c>
      <c r="J57" s="286" t="str">
        <f>IF(ISBLANK($E57),"",VLOOKUP($E57,Teilnehmer!$B$4:$K$199,8,0))</f>
        <v>-</v>
      </c>
      <c r="K57" s="287" t="str">
        <f>IF(ISBLANK($E57),"",VLOOKUP($E57,Teilnehmer!$B$4:$K$199,9,0))</f>
        <v>-</v>
      </c>
      <c r="L57" s="315" t="str">
        <f>IF(ISBLANK($E57),"",VLOOKUP($E57,Teilnehmer!$B$4:$K$199,10,0))</f>
        <v>Audi 80 Quattro</v>
      </c>
      <c r="M57" s="317" t="str">
        <f>IF(ISBLANK($E57),"",IFERROR(VLOOKUP(E57,'G1'!$E$6:$P$203,9,0),IFERROR(VLOOKUP(E57,'G2'!$E$6:$P$208,9,0),VLOOKUP(E57,'G3'!$E$6:$P$199,9,0))))</f>
        <v>ADW</v>
      </c>
      <c r="N57" s="193"/>
      <c r="O57" s="194">
        <f>IF(ISBLANK($E57),"",IFERROR(VLOOKUP(E57,'G1'!$E$6:$P$203,10,0),IFERROR(VLOOKUP(E57,'G2'!$E$6:$P$208,10,0),VLOOKUP(E57,'G3'!$E$6:$P$199,10,0))))</f>
        <v>0</v>
      </c>
      <c r="P57" s="195">
        <f>IF(ISBLANK($E57),"",IFERROR(VLOOKUP(E57,'G1'!$E$6:$P$203,11,0),IFERROR(VLOOKUP(E57,'G2'!$E$6:$P$208,11,0),VLOOKUP(E57,'G3'!$E$6:$P$199,11,0))))</f>
        <v>0</v>
      </c>
      <c r="Q57" s="196">
        <f>IF(ISBLANK($E57),"",IFERROR(VLOOKUP(E57,'G1'!$E$6:$P$203,12,0),IFERROR(VLOOKUP(E57,'G2'!$E$6:$P$208,12,0),VLOOKUP(E57,'G3'!$E$6:$P$199,12,0))))</f>
        <v>0</v>
      </c>
      <c r="S57" s="198" t="str">
        <f t="shared" si="0"/>
        <v>Sortierung A bis Z</v>
      </c>
    </row>
    <row r="58" spans="2:19" s="197" customFormat="1" ht="27.75" customHeight="1">
      <c r="B58" s="188">
        <f t="shared" si="1"/>
        <v>53</v>
      </c>
      <c r="C58" s="189">
        <f>IF(ISBLANK($E58),"",VLOOKUP($E58,Teilnehmer!$B$4:$K$199,2,0))</f>
        <v>3</v>
      </c>
      <c r="D58" s="190">
        <f>IF(ISBLANK($E58),"",VLOOKUP($E58,Teilnehmer!$B$4:$K$199,3,0))</f>
        <v>11</v>
      </c>
      <c r="E58" s="191">
        <v>5</v>
      </c>
      <c r="F58" s="181" t="str">
        <f>IF(ISBLANK($E58),"",VLOOKUP($E58,Teilnehmer!$B$4:$K$199,4,0))</f>
        <v>Paul Gerhard</v>
      </c>
      <c r="G58" s="286">
        <f>IF(ISBLANK($E58),"",VLOOKUP($E58,Teilnehmer!$B$4:$K$199,5,0))</f>
        <v>16128</v>
      </c>
      <c r="H58" s="287" t="str">
        <f>IF(ISBLANK($E58),"",VLOOKUP($E58,Teilnehmer!$B$4:$K$199,6,0))</f>
        <v>AC Gunzenhausen</v>
      </c>
      <c r="I58" s="181" t="str">
        <f>IF(ISBLANK($E58),"",VLOOKUP($E58,Teilnehmer!$B$4:$K$199,7,0))</f>
        <v>Paul Jana</v>
      </c>
      <c r="J58" s="286">
        <f>IF(ISBLANK($E58),"",VLOOKUP($E58,Teilnehmer!$B$4:$K$199,8,0))</f>
        <v>16127</v>
      </c>
      <c r="K58" s="287" t="str">
        <f>IF(ISBLANK($E58),"",VLOOKUP($E58,Teilnehmer!$B$4:$K$199,9,0))</f>
        <v>AC Gunzenhausen</v>
      </c>
      <c r="L58" s="315" t="str">
        <f>IF(ISBLANK($E58),"",VLOOKUP($E58,Teilnehmer!$B$4:$K$199,10,0))</f>
        <v>BMW E30ix</v>
      </c>
      <c r="M58" s="317" t="str">
        <f>IF(ISBLANK($E58),"",IFERROR(VLOOKUP(E58,'G1'!$E$6:$P$203,9,0),IFERROR(VLOOKUP(E58,'G2'!$E$6:$P$208,9,0),VLOOKUP(E58,'G3'!$E$6:$P$199,9,0))))</f>
        <v>ADW</v>
      </c>
      <c r="N58" s="193"/>
      <c r="O58" s="194">
        <f>IF(ISBLANK($E58),"",IFERROR(VLOOKUP(E58,'G1'!$E$6:$P$203,10,0),IFERROR(VLOOKUP(E58,'G2'!$E$6:$P$208,10,0),VLOOKUP(E58,'G3'!$E$6:$P$199,10,0))))</f>
        <v>0</v>
      </c>
      <c r="P58" s="195">
        <f>IF(ISBLANK($E58),"",IFERROR(VLOOKUP(E58,'G1'!$E$6:$P$203,11,0),IFERROR(VLOOKUP(E58,'G2'!$E$6:$P$208,11,0),VLOOKUP(E58,'G3'!$E$6:$P$199,11,0))))</f>
        <v>0</v>
      </c>
      <c r="Q58" s="196">
        <f>IF(ISBLANK($E58),"",IFERROR(VLOOKUP(E58,'G1'!$E$6:$P$203,12,0),IFERROR(VLOOKUP(E58,'G2'!$E$6:$P$208,12,0),VLOOKUP(E58,'G3'!$E$6:$P$199,12,0))))</f>
        <v>0</v>
      </c>
      <c r="S58" s="198" t="str">
        <f t="shared" si="0"/>
        <v>Sortierung A bis Z</v>
      </c>
    </row>
    <row r="59" spans="2:19" s="197" customFormat="1" ht="27.75" customHeight="1">
      <c r="B59" s="188">
        <f t="shared" si="1"/>
        <v>54</v>
      </c>
      <c r="C59" s="189">
        <f>IF(ISBLANK($E59),"",VLOOKUP($E59,Teilnehmer!$B$4:$K$199,2,0))</f>
        <v>3</v>
      </c>
      <c r="D59" s="190">
        <f>IF(ISBLANK($E59),"",VLOOKUP($E59,Teilnehmer!$B$4:$K$199,3,0))</f>
        <v>11</v>
      </c>
      <c r="E59" s="191">
        <v>9</v>
      </c>
      <c r="F59" s="181" t="str">
        <f>IF(ISBLANK($E59),"",VLOOKUP($E59,Teilnehmer!$B$4:$K$199,4,0))</f>
        <v>Stütz Ralf</v>
      </c>
      <c r="G59" s="286" t="str">
        <f>IF(ISBLANK($E59),"",VLOOKUP($E59,Teilnehmer!$B$4:$K$199,5,0))</f>
        <v>-</v>
      </c>
      <c r="H59" s="287" t="str">
        <f>IF(ISBLANK($E59),"",VLOOKUP($E59,Teilnehmer!$B$4:$K$199,6,0))</f>
        <v>-</v>
      </c>
      <c r="I59" s="181" t="str">
        <f>IF(ISBLANK($E59),"",VLOOKUP($E59,Teilnehmer!$B$4:$K$199,7,0))</f>
        <v>Hertfelder Albert</v>
      </c>
      <c r="J59" s="286" t="str">
        <f>IF(ISBLANK($E59),"",VLOOKUP($E59,Teilnehmer!$B$4:$K$199,8,0))</f>
        <v>-</v>
      </c>
      <c r="K59" s="287" t="str">
        <f>IF(ISBLANK($E59),"",VLOOKUP($E59,Teilnehmer!$B$4:$K$199,9,0))</f>
        <v>-</v>
      </c>
      <c r="L59" s="315" t="str">
        <f>IF(ISBLANK($E59),"",VLOOKUP($E59,Teilnehmer!$B$4:$K$199,10,0))</f>
        <v>Mitsubishi Lancer EVO</v>
      </c>
      <c r="M59" s="317" t="str">
        <f>IF(ISBLANK($E59),"",IFERROR(VLOOKUP(E59,'G1'!$E$6:$P$203,9,0),IFERROR(VLOOKUP(E59,'G2'!$E$6:$P$208,9,0),VLOOKUP(E59,'G3'!$E$6:$P$199,9,0))))</f>
        <v>ADW</v>
      </c>
      <c r="N59" s="193"/>
      <c r="O59" s="194">
        <f>IF(ISBLANK($E59),"",IFERROR(VLOOKUP(E59,'G1'!$E$6:$P$203,10,0),IFERROR(VLOOKUP(E59,'G2'!$E$6:$P$208,10,0),VLOOKUP(E59,'G3'!$E$6:$P$199,10,0))))</f>
        <v>0</v>
      </c>
      <c r="P59" s="195">
        <f>IF(ISBLANK($E59),"",IFERROR(VLOOKUP(E59,'G1'!$E$6:$P$203,11,0),IFERROR(VLOOKUP(E59,'G2'!$E$6:$P$208,11,0),VLOOKUP(E59,'G3'!$E$6:$P$199,11,0))))</f>
        <v>0</v>
      </c>
      <c r="Q59" s="196">
        <f>IF(ISBLANK($E59),"",IFERROR(VLOOKUP(E59,'G1'!$E$6:$P$203,12,0),IFERROR(VLOOKUP(E59,'G2'!$E$6:$P$208,12,0),VLOOKUP(E59,'G3'!$E$6:$P$199,12,0))))</f>
        <v>0</v>
      </c>
      <c r="S59" s="198" t="str">
        <f t="shared" si="0"/>
        <v>Sortierung A bis Z</v>
      </c>
    </row>
    <row r="60" spans="2:19" s="197" customFormat="1" ht="27.75" customHeight="1">
      <c r="B60" s="188">
        <f t="shared" si="1"/>
        <v>55</v>
      </c>
      <c r="C60" s="189">
        <f>IF(ISBLANK($E60),"",VLOOKUP($E60,Teilnehmer!$B$4:$K$199,2,0))</f>
        <v>2</v>
      </c>
      <c r="D60" s="190">
        <f>IF(ISBLANK($E60),"",VLOOKUP($E60,Teilnehmer!$B$4:$K$199,3,0))</f>
        <v>10</v>
      </c>
      <c r="E60" s="191">
        <v>11</v>
      </c>
      <c r="F60" s="181" t="str">
        <f>IF(ISBLANK($E60),"",VLOOKUP($E60,Teilnehmer!$B$4:$K$199,4,0))</f>
        <v>Wundsam Sebastian</v>
      </c>
      <c r="G60" s="286">
        <f>IF(ISBLANK($E60),"",VLOOKUP($E60,Teilnehmer!$B$4:$K$199,5,0))</f>
        <v>14309</v>
      </c>
      <c r="H60" s="287" t="str">
        <f>IF(ISBLANK($E60),"",VLOOKUP($E60,Teilnehmer!$B$4:$K$199,6,0))</f>
        <v>SWF Weidwies</v>
      </c>
      <c r="I60" s="181" t="str">
        <f>IF(ISBLANK($E60),"",VLOOKUP($E60,Teilnehmer!$B$4:$K$199,7,0))</f>
        <v>Summer Sebastian</v>
      </c>
      <c r="J60" s="286">
        <f>IF(ISBLANK($E60),"",VLOOKUP($E60,Teilnehmer!$B$4:$K$199,8,0))</f>
        <v>16294</v>
      </c>
      <c r="K60" s="287" t="str">
        <f>IF(ISBLANK($E60),"",VLOOKUP($E60,Teilnehmer!$B$4:$K$199,9,0))</f>
        <v>SWF Weidwies</v>
      </c>
      <c r="L60" s="315" t="str">
        <f>IF(ISBLANK($E60),"",VLOOKUP($E60,Teilnehmer!$B$4:$K$199,10,0))</f>
        <v>BMW E36 M3</v>
      </c>
      <c r="M60" s="317" t="str">
        <f>IF(ISBLANK($E60),"",IFERROR(VLOOKUP(E60,'G1'!$E$6:$P$203,9,0),IFERROR(VLOOKUP(E60,'G2'!$E$6:$P$208,9,0),VLOOKUP(E60,'G3'!$E$6:$P$199,9,0))))</f>
        <v>ADW</v>
      </c>
      <c r="N60" s="193"/>
      <c r="O60" s="194">
        <f>IF(ISBLANK($E60),"",IFERROR(VLOOKUP(E60,'G1'!$E$6:$P$203,10,0),IFERROR(VLOOKUP(E60,'G2'!$E$6:$P$208,10,0),VLOOKUP(E60,'G3'!$E$6:$P$199,10,0))))</f>
        <v>0</v>
      </c>
      <c r="P60" s="195">
        <f>IF(ISBLANK($E60),"",IFERROR(VLOOKUP(E60,'G1'!$E$6:$P$203,11,0),IFERROR(VLOOKUP(E60,'G2'!$E$6:$P$208,11,0),VLOOKUP(E60,'G3'!$E$6:$P$199,11,0))))</f>
        <v>0</v>
      </c>
      <c r="Q60" s="196">
        <f>IF(ISBLANK($E60),"",IFERROR(VLOOKUP(E60,'G1'!$E$6:$P$203,12,0),IFERROR(VLOOKUP(E60,'G2'!$E$6:$P$208,12,0),VLOOKUP(E60,'G3'!$E$6:$P$199,12,0))))</f>
        <v>0</v>
      </c>
      <c r="S60" s="198" t="str">
        <f t="shared" si="0"/>
        <v>Sortierung A bis Z</v>
      </c>
    </row>
    <row r="61" spans="2:19" s="197" customFormat="1" ht="27.75" customHeight="1">
      <c r="B61" s="188">
        <f t="shared" si="1"/>
        <v>56</v>
      </c>
      <c r="C61" s="189">
        <f>IF(ISBLANK($E61),"",VLOOKUP($E61,Teilnehmer!$B$4:$K$199,2,0))</f>
        <v>2</v>
      </c>
      <c r="D61" s="190">
        <f>IF(ISBLANK($E61),"",VLOOKUP($E61,Teilnehmer!$B$4:$K$199,3,0))</f>
        <v>10</v>
      </c>
      <c r="E61" s="191">
        <v>18</v>
      </c>
      <c r="F61" s="181" t="str">
        <f>IF(ISBLANK($E61),"",VLOOKUP($E61,Teilnehmer!$B$4:$K$199,4,0))</f>
        <v>Haselbeck Maximilian</v>
      </c>
      <c r="G61" s="286" t="str">
        <f>IF(ISBLANK($E61),"",VLOOKUP($E61,Teilnehmer!$B$4:$K$199,5,0))</f>
        <v>-</v>
      </c>
      <c r="H61" s="287" t="str">
        <f>IF(ISBLANK($E61),"",VLOOKUP($E61,Teilnehmer!$B$4:$K$199,6,0))</f>
        <v>-</v>
      </c>
      <c r="I61" s="181" t="str">
        <f>IF(ISBLANK($E61),"",VLOOKUP($E61,Teilnehmer!$B$4:$K$199,7,0))</f>
        <v>Haselbeck Alexander</v>
      </c>
      <c r="J61" s="286" t="str">
        <f>IF(ISBLANK($E61),"",VLOOKUP($E61,Teilnehmer!$B$4:$K$199,8,0))</f>
        <v>-</v>
      </c>
      <c r="K61" s="287" t="str">
        <f>IF(ISBLANK($E61),"",VLOOKUP($E61,Teilnehmer!$B$4:$K$199,9,0))</f>
        <v>-</v>
      </c>
      <c r="L61" s="315" t="str">
        <f>IF(ISBLANK($E61),"",VLOOKUP($E61,Teilnehmer!$B$4:$K$199,10,0))</f>
        <v>BMW 328i</v>
      </c>
      <c r="M61" s="317" t="str">
        <f>IF(ISBLANK($E61),"",IFERROR(VLOOKUP(E61,'G1'!$E$6:$P$203,9,0),IFERROR(VLOOKUP(E61,'G2'!$E$6:$P$208,9,0),VLOOKUP(E61,'G3'!$E$6:$P$199,9,0))))</f>
        <v>ADW</v>
      </c>
      <c r="N61" s="193"/>
      <c r="O61" s="194">
        <f>IF(ISBLANK($E61),"",IFERROR(VLOOKUP(E61,'G1'!$E$6:$P$203,10,0),IFERROR(VLOOKUP(E61,'G2'!$E$6:$P$208,10,0),VLOOKUP(E61,'G3'!$E$6:$P$199,10,0))))</f>
        <v>0</v>
      </c>
      <c r="P61" s="195">
        <f>IF(ISBLANK($E61),"",IFERROR(VLOOKUP(E61,'G1'!$E$6:$P$203,11,0),IFERROR(VLOOKUP(E61,'G2'!$E$6:$P$208,11,0),VLOOKUP(E61,'G3'!$E$6:$P$199,11,0))))</f>
        <v>0</v>
      </c>
      <c r="Q61" s="196">
        <f>IF(ISBLANK($E61),"",IFERROR(VLOOKUP(E61,'G1'!$E$6:$P$203,12,0),IFERROR(VLOOKUP(E61,'G2'!$E$6:$P$208,12,0),VLOOKUP(E61,'G3'!$E$6:$P$199,12,0))))</f>
        <v>0</v>
      </c>
      <c r="S61" s="198" t="str">
        <f t="shared" si="0"/>
        <v>Sortierung A bis Z</v>
      </c>
    </row>
    <row r="62" spans="2:19" s="197" customFormat="1" ht="27.75" customHeight="1">
      <c r="B62" s="188">
        <f t="shared" si="1"/>
        <v>57</v>
      </c>
      <c r="C62" s="189">
        <f>IF(ISBLANK($E62),"",VLOOKUP($E62,Teilnehmer!$B$4:$K$199,2,0))</f>
        <v>2</v>
      </c>
      <c r="D62" s="190">
        <f>IF(ISBLANK($E62),"",VLOOKUP($E62,Teilnehmer!$B$4:$K$199,3,0))</f>
        <v>9</v>
      </c>
      <c r="E62" s="191">
        <v>22</v>
      </c>
      <c r="F62" s="181" t="str">
        <f>IF(ISBLANK($E62),"",VLOOKUP($E62,Teilnehmer!$B$4:$K$199,4,0))</f>
        <v>Schindler Thomas</v>
      </c>
      <c r="G62" s="286">
        <f>IF(ISBLANK($E62),"",VLOOKUP($E62,Teilnehmer!$B$4:$K$199,5,0))</f>
        <v>16713</v>
      </c>
      <c r="H62" s="287" t="str">
        <f>IF(ISBLANK($E62),"",VLOOKUP($E62,Teilnehmer!$B$4:$K$199,6,0))</f>
        <v>AC Gunzenhausen</v>
      </c>
      <c r="I62" s="181" t="str">
        <f>IF(ISBLANK($E62),"",VLOOKUP($E62,Teilnehmer!$B$4:$K$199,7,0))</f>
        <v>Bader Alina</v>
      </c>
      <c r="J62" s="286">
        <f>IF(ISBLANK($E62),"",VLOOKUP($E62,Teilnehmer!$B$4:$K$199,8,0))</f>
        <v>16723</v>
      </c>
      <c r="K62" s="287" t="str">
        <f>IF(ISBLANK($E62),"",VLOOKUP($E62,Teilnehmer!$B$4:$K$199,9,0))</f>
        <v>MSC Untergröningen</v>
      </c>
      <c r="L62" s="315" t="str">
        <f>IF(ISBLANK($E62),"",VLOOKUP($E62,Teilnehmer!$B$4:$K$199,10,0))</f>
        <v>Honda Civic</v>
      </c>
      <c r="M62" s="317" t="str">
        <f>IF(ISBLANK($E62),"",IFERROR(VLOOKUP(E62,'G1'!$E$6:$P$203,9,0),IFERROR(VLOOKUP(E62,'G2'!$E$6:$P$208,9,0),VLOOKUP(E62,'G3'!$E$6:$P$199,9,0))))</f>
        <v>ADW</v>
      </c>
      <c r="N62" s="193"/>
      <c r="O62" s="194">
        <f>IF(ISBLANK($E62),"",IFERROR(VLOOKUP(E62,'G1'!$E$6:$P$203,10,0),IFERROR(VLOOKUP(E62,'G2'!$E$6:$P$208,10,0),VLOOKUP(E62,'G3'!$E$6:$P$199,10,0))))</f>
        <v>0</v>
      </c>
      <c r="P62" s="195">
        <f>IF(ISBLANK($E62),"",IFERROR(VLOOKUP(E62,'G1'!$E$6:$P$203,11,0),IFERROR(VLOOKUP(E62,'G2'!$E$6:$P$208,11,0),VLOOKUP(E62,'G3'!$E$6:$P$199,11,0))))</f>
        <v>0</v>
      </c>
      <c r="Q62" s="196">
        <f>IF(ISBLANK($E62),"",IFERROR(VLOOKUP(E62,'G1'!$E$6:$P$203,12,0),IFERROR(VLOOKUP(E62,'G2'!$E$6:$P$208,12,0),VLOOKUP(E62,'G3'!$E$6:$P$199,12,0))))</f>
        <v>0</v>
      </c>
      <c r="S62" s="198" t="str">
        <f t="shared" si="0"/>
        <v>Sortierung A bis Z</v>
      </c>
    </row>
    <row r="63" spans="2:19" s="197" customFormat="1" ht="27.75" customHeight="1">
      <c r="B63" s="188">
        <f t="shared" si="1"/>
        <v>58</v>
      </c>
      <c r="C63" s="189">
        <f>IF(ISBLANK($E63),"",VLOOKUP($E63,Teilnehmer!$B$4:$K$199,2,0))</f>
        <v>2</v>
      </c>
      <c r="D63" s="190">
        <f>IF(ISBLANK($E63),"",VLOOKUP($E63,Teilnehmer!$B$4:$K$199,3,0))</f>
        <v>9</v>
      </c>
      <c r="E63" s="191">
        <v>23</v>
      </c>
      <c r="F63" s="181" t="str">
        <f>IF(ISBLANK($E63),"",VLOOKUP($E63,Teilnehmer!$B$4:$K$199,4,0))</f>
        <v>Spieß Jürgen</v>
      </c>
      <c r="G63" s="286">
        <f>IF(ISBLANK($E63),"",VLOOKUP($E63,Teilnehmer!$B$4:$K$199,5,0))</f>
        <v>12467</v>
      </c>
      <c r="H63" s="287" t="str">
        <f>IF(ISBLANK($E63),"",VLOOKUP($E63,Teilnehmer!$B$4:$K$199,6,0))</f>
        <v>MSC Mamming</v>
      </c>
      <c r="I63" s="181" t="str">
        <f>IF(ISBLANK($E63),"",VLOOKUP($E63,Teilnehmer!$B$4:$K$199,7,0))</f>
        <v>Wythe Axel</v>
      </c>
      <c r="J63" s="286">
        <f>IF(ISBLANK($E63),"",VLOOKUP($E63,Teilnehmer!$B$4:$K$199,8,0))</f>
        <v>12778</v>
      </c>
      <c r="K63" s="287" t="str">
        <f>IF(ISBLANK($E63),"",VLOOKUP($E63,Teilnehmer!$B$4:$K$199,9,0))</f>
        <v>MSC Mamming</v>
      </c>
      <c r="L63" s="315" t="str">
        <f>IF(ISBLANK($E63),"",VLOOKUP($E63,Teilnehmer!$B$4:$K$199,10,0))</f>
        <v>Opel Ascona B</v>
      </c>
      <c r="M63" s="317" t="str">
        <f>IF(ISBLANK($E63),"",IFERROR(VLOOKUP(E63,'G1'!$E$6:$P$203,9,0),IFERROR(VLOOKUP(E63,'G2'!$E$6:$P$208,9,0),VLOOKUP(E63,'G3'!$E$6:$P$199,9,0))))</f>
        <v>ADW</v>
      </c>
      <c r="N63" s="193"/>
      <c r="O63" s="194">
        <f>IF(ISBLANK($E63),"",IFERROR(VLOOKUP(E63,'G1'!$E$6:$P$203,10,0),IFERROR(VLOOKUP(E63,'G2'!$E$6:$P$208,10,0),VLOOKUP(E63,'G3'!$E$6:$P$199,10,0))))</f>
        <v>0</v>
      </c>
      <c r="P63" s="195">
        <f>IF(ISBLANK($E63),"",IFERROR(VLOOKUP(E63,'G1'!$E$6:$P$203,11,0),IFERROR(VLOOKUP(E63,'G2'!$E$6:$P$208,11,0),VLOOKUP(E63,'G3'!$E$6:$P$199,11,0))))</f>
        <v>0</v>
      </c>
      <c r="Q63" s="196">
        <f>IF(ISBLANK($E63),"",IFERROR(VLOOKUP(E63,'G1'!$E$6:$P$203,12,0),IFERROR(VLOOKUP(E63,'G2'!$E$6:$P$208,12,0),VLOOKUP(E63,'G3'!$E$6:$P$199,12,0))))</f>
        <v>0</v>
      </c>
      <c r="S63" s="198" t="str">
        <f t="shared" si="0"/>
        <v>Sortierung A bis Z</v>
      </c>
    </row>
    <row r="64" spans="2:19" s="197" customFormat="1" ht="27.75" customHeight="1">
      <c r="B64" s="188">
        <f t="shared" si="1"/>
        <v>59</v>
      </c>
      <c r="C64" s="189">
        <f>IF(ISBLANK($E64),"",VLOOKUP($E64,Teilnehmer!$B$4:$K$199,2,0))</f>
        <v>2</v>
      </c>
      <c r="D64" s="190">
        <f>IF(ISBLANK($E64),"",VLOOKUP($E64,Teilnehmer!$B$4:$K$199,3,0))</f>
        <v>9</v>
      </c>
      <c r="E64" s="191">
        <v>24</v>
      </c>
      <c r="F64" s="181" t="str">
        <f>IF(ISBLANK($E64),"",VLOOKUP($E64,Teilnehmer!$B$4:$K$199,4,0))</f>
        <v>Böhringer Jochen</v>
      </c>
      <c r="G64" s="286" t="str">
        <f>IF(ISBLANK($E64),"",VLOOKUP($E64,Teilnehmer!$B$4:$K$199,5,0))</f>
        <v>-</v>
      </c>
      <c r="H64" s="287" t="str">
        <f>IF(ISBLANK($E64),"",VLOOKUP($E64,Teilnehmer!$B$4:$K$199,6,0))</f>
        <v>HWRT Wohlmuthausen</v>
      </c>
      <c r="I64" s="181" t="str">
        <f>IF(ISBLANK($E64),"",VLOOKUP($E64,Teilnehmer!$B$4:$K$199,7,0))</f>
        <v>Arnold Patrick</v>
      </c>
      <c r="J64" s="286" t="str">
        <f>IF(ISBLANK($E64),"",VLOOKUP($E64,Teilnehmer!$B$4:$K$199,8,0))</f>
        <v>-</v>
      </c>
      <c r="K64" s="287" t="str">
        <f>IF(ISBLANK($E64),"",VLOOKUP($E64,Teilnehmer!$B$4:$K$199,9,0))</f>
        <v>HWRT Wohlmuthausen</v>
      </c>
      <c r="L64" s="315" t="str">
        <f>IF(ISBLANK($E64),"",VLOOKUP($E64,Teilnehmer!$B$4:$K$199,10,0))</f>
        <v>BMW E30 - 318 IS</v>
      </c>
      <c r="M64" s="317" t="str">
        <f>IF(ISBLANK($E64),"",IFERROR(VLOOKUP(E64,'G1'!$E$6:$P$203,9,0),IFERROR(VLOOKUP(E64,'G2'!$E$6:$P$208,9,0),VLOOKUP(E64,'G3'!$E$6:$P$199,9,0))))</f>
        <v>ADW</v>
      </c>
      <c r="N64" s="193"/>
      <c r="O64" s="194">
        <f>IF(ISBLANK($E64),"",IFERROR(VLOOKUP(E64,'G1'!$E$6:$P$203,10,0),IFERROR(VLOOKUP(E64,'G2'!$E$6:$P$208,10,0),VLOOKUP(E64,'G3'!$E$6:$P$199,10,0))))</f>
        <v>0</v>
      </c>
      <c r="P64" s="195">
        <f>IF(ISBLANK($E64),"",IFERROR(VLOOKUP(E64,'G1'!$E$6:$P$203,11,0),IFERROR(VLOOKUP(E64,'G2'!$E$6:$P$208,11,0),VLOOKUP(E64,'G3'!$E$6:$P$199,11,0))))</f>
        <v>0</v>
      </c>
      <c r="Q64" s="196">
        <f>IF(ISBLANK($E64),"",IFERROR(VLOOKUP(E64,'G1'!$E$6:$P$203,12,0),IFERROR(VLOOKUP(E64,'G2'!$E$6:$P$208,12,0),VLOOKUP(E64,'G3'!$E$6:$P$199,12,0))))</f>
        <v>0</v>
      </c>
      <c r="S64" s="198" t="str">
        <f t="shared" si="0"/>
        <v>Sortierung A bis Z</v>
      </c>
    </row>
    <row r="65" spans="2:19" s="197" customFormat="1" ht="27.75" customHeight="1">
      <c r="B65" s="188">
        <f t="shared" si="1"/>
        <v>60</v>
      </c>
      <c r="C65" s="189">
        <f>IF(ISBLANK($E65),"",VLOOKUP($E65,Teilnehmer!$B$4:$K$199,2,0))</f>
        <v>2</v>
      </c>
      <c r="D65" s="190">
        <f>IF(ISBLANK($E65),"",VLOOKUP($E65,Teilnehmer!$B$4:$K$199,3,0))</f>
        <v>9</v>
      </c>
      <c r="E65" s="191">
        <v>27</v>
      </c>
      <c r="F65" s="181" t="str">
        <f>IF(ISBLANK($E65),"",VLOOKUP($E65,Teilnehmer!$B$4:$K$199,4,0))</f>
        <v>Kögl Hans</v>
      </c>
      <c r="G65" s="286" t="str">
        <f>IF(ISBLANK($E65),"",VLOOKUP($E65,Teilnehmer!$B$4:$K$199,5,0))</f>
        <v>-</v>
      </c>
      <c r="H65" s="287" t="str">
        <f>IF(ISBLANK($E65),"",VLOOKUP($E65,Teilnehmer!$B$4:$K$199,6,0))</f>
        <v>MSF Freising</v>
      </c>
      <c r="I65" s="181" t="str">
        <f>IF(ISBLANK($E65),"",VLOOKUP($E65,Teilnehmer!$B$4:$K$199,7,0))</f>
        <v>Schwaiger Thomas</v>
      </c>
      <c r="J65" s="286" t="str">
        <f>IF(ISBLANK($E65),"",VLOOKUP($E65,Teilnehmer!$B$4:$K$199,8,0))</f>
        <v>-</v>
      </c>
      <c r="K65" s="287" t="str">
        <f>IF(ISBLANK($E65),"",VLOOKUP($E65,Teilnehmer!$B$4:$K$199,9,0))</f>
        <v>MSF Freising</v>
      </c>
      <c r="L65" s="315" t="str">
        <f>IF(ISBLANK($E65),"",VLOOKUP($E65,Teilnehmer!$B$4:$K$199,10,0))</f>
        <v>Opel Kadett E GSI</v>
      </c>
      <c r="M65" s="317" t="str">
        <f>IF(ISBLANK($E65),"",IFERROR(VLOOKUP(E65,'G1'!$E$6:$P$203,9,0),IFERROR(VLOOKUP(E65,'G2'!$E$6:$P$208,9,0),VLOOKUP(E65,'G3'!$E$6:$P$199,9,0))))</f>
        <v>ADW</v>
      </c>
      <c r="N65" s="193"/>
      <c r="O65" s="194">
        <f>IF(ISBLANK($E65),"",IFERROR(VLOOKUP(E65,'G1'!$E$6:$P$203,10,0),IFERROR(VLOOKUP(E65,'G2'!$E$6:$P$208,10,0),VLOOKUP(E65,'G3'!$E$6:$P$199,10,0))))</f>
        <v>0</v>
      </c>
      <c r="P65" s="195">
        <f>IF(ISBLANK($E65),"",IFERROR(VLOOKUP(E65,'G1'!$E$6:$P$203,11,0),IFERROR(VLOOKUP(E65,'G2'!$E$6:$P$208,11,0),VLOOKUP(E65,'G3'!$E$6:$P$199,11,0))))</f>
        <v>0</v>
      </c>
      <c r="Q65" s="196">
        <f>IF(ISBLANK($E65),"",IFERROR(VLOOKUP(E65,'G1'!$E$6:$P$203,12,0),IFERROR(VLOOKUP(E65,'G2'!$E$6:$P$208,12,0),VLOOKUP(E65,'G3'!$E$6:$P$199,12,0))))</f>
        <v>0</v>
      </c>
      <c r="S65" s="198" t="str">
        <f t="shared" si="0"/>
        <v>Sortierung A bis Z</v>
      </c>
    </row>
    <row r="66" spans="2:19" s="197" customFormat="1" ht="27.75" customHeight="1">
      <c r="B66" s="188">
        <f t="shared" si="1"/>
        <v>61</v>
      </c>
      <c r="C66" s="189">
        <f>IF(ISBLANK($E66),"",VLOOKUP($E66,Teilnehmer!$B$4:$K$199,2,0))</f>
        <v>2</v>
      </c>
      <c r="D66" s="190">
        <f>IF(ISBLANK($E66),"",VLOOKUP($E66,Teilnehmer!$B$4:$K$199,3,0))</f>
        <v>9</v>
      </c>
      <c r="E66" s="191">
        <v>28</v>
      </c>
      <c r="F66" s="181" t="str">
        <f>IF(ISBLANK($E66),"",VLOOKUP($E66,Teilnehmer!$B$4:$K$199,4,0))</f>
        <v>Teves Daniel</v>
      </c>
      <c r="G66" s="286">
        <f>IF(ISBLANK($E66),"",VLOOKUP($E66,Teilnehmer!$B$4:$K$199,5,0))</f>
        <v>16640</v>
      </c>
      <c r="H66" s="287" t="str">
        <f>IF(ISBLANK($E66),"",VLOOKUP($E66,Teilnehmer!$B$4:$K$199,6,0))</f>
        <v>Taunus-Racing-Team</v>
      </c>
      <c r="I66" s="181" t="str">
        <f>IF(ISBLANK($E66),"",VLOOKUP($E66,Teilnehmer!$B$4:$K$199,7,0))</f>
        <v>Meditz Michael</v>
      </c>
      <c r="J66" s="286" t="str">
        <f>IF(ISBLANK($E66),"",VLOOKUP($E66,Teilnehmer!$B$4:$K$199,8,0))</f>
        <v>-</v>
      </c>
      <c r="K66" s="287" t="str">
        <f>IF(ISBLANK($E66),"",VLOOKUP($E66,Teilnehmer!$B$4:$K$199,9,0))</f>
        <v>-</v>
      </c>
      <c r="L66" s="315" t="str">
        <f>IF(ISBLANK($E66),"",VLOOKUP($E66,Teilnehmer!$B$4:$K$199,10,0))</f>
        <v>BMW 318 IS CUP</v>
      </c>
      <c r="M66" s="317" t="str">
        <f>IF(ISBLANK($E66),"",IFERROR(VLOOKUP(E66,'G1'!$E$6:$P$203,9,0),IFERROR(VLOOKUP(E66,'G2'!$E$6:$P$208,9,0),VLOOKUP(E66,'G3'!$E$6:$P$199,9,0))))</f>
        <v>ADW</v>
      </c>
      <c r="N66" s="193"/>
      <c r="O66" s="194">
        <f>IF(ISBLANK($E66),"",IFERROR(VLOOKUP(E66,'G1'!$E$6:$P$203,10,0),IFERROR(VLOOKUP(E66,'G2'!$E$6:$P$208,10,0),VLOOKUP(E66,'G3'!$E$6:$P$199,10,0))))</f>
        <v>0</v>
      </c>
      <c r="P66" s="195">
        <f>IF(ISBLANK($E66),"",IFERROR(VLOOKUP(E66,'G1'!$E$6:$P$203,11,0),IFERROR(VLOOKUP(E66,'G2'!$E$6:$P$208,11,0),VLOOKUP(E66,'G3'!$E$6:$P$199,11,0))))</f>
        <v>0</v>
      </c>
      <c r="Q66" s="196">
        <f>IF(ISBLANK($E66),"",IFERROR(VLOOKUP(E66,'G1'!$E$6:$P$203,12,0),IFERROR(VLOOKUP(E66,'G2'!$E$6:$P$208,12,0),VLOOKUP(E66,'G3'!$E$6:$P$199,12,0))))</f>
        <v>0</v>
      </c>
      <c r="S66" s="198" t="str">
        <f t="shared" si="0"/>
        <v>Sortierung A bis Z</v>
      </c>
    </row>
    <row r="67" spans="2:19" s="197" customFormat="1" ht="27.75" customHeight="1">
      <c r="B67" s="188">
        <f t="shared" si="1"/>
        <v>62</v>
      </c>
      <c r="C67" s="189">
        <f>IF(ISBLANK($E67),"",VLOOKUP($E67,Teilnehmer!$B$4:$K$199,2,0))</f>
        <v>2</v>
      </c>
      <c r="D67" s="190">
        <f>IF(ISBLANK($E67),"",VLOOKUP($E67,Teilnehmer!$B$4:$K$199,3,0))</f>
        <v>9</v>
      </c>
      <c r="E67" s="191">
        <v>29</v>
      </c>
      <c r="F67" s="181" t="str">
        <f>IF(ISBLANK($E67),"",VLOOKUP($E67,Teilnehmer!$B$4:$K$199,4,0))</f>
        <v>Kraus Florian</v>
      </c>
      <c r="G67" s="286" t="str">
        <f>IF(ISBLANK($E67),"",VLOOKUP($E67,Teilnehmer!$B$4:$K$199,5,0))</f>
        <v>-</v>
      </c>
      <c r="H67" s="287" t="str">
        <f>IF(ISBLANK($E67),"",VLOOKUP($E67,Teilnehmer!$B$4:$K$199,6,0))</f>
        <v>-</v>
      </c>
      <c r="I67" s="181" t="str">
        <f>IF(ISBLANK($E67),"",VLOOKUP($E67,Teilnehmer!$B$4:$K$199,7,0))</f>
        <v>Thiel Sabrina</v>
      </c>
      <c r="J67" s="286">
        <f>IF(ISBLANK($E67),"",VLOOKUP($E67,Teilnehmer!$B$4:$K$199,8,0))</f>
        <v>14904</v>
      </c>
      <c r="K67" s="287" t="str">
        <f>IF(ISBLANK($E67),"",VLOOKUP($E67,Teilnehmer!$B$4:$K$199,9,0))</f>
        <v>MSC Jura</v>
      </c>
      <c r="L67" s="315" t="str">
        <f>IF(ISBLANK($E67),"",VLOOKUP($E67,Teilnehmer!$B$4:$K$199,10,0))</f>
        <v>VW Golf 3</v>
      </c>
      <c r="M67" s="317" t="str">
        <f>IF(ISBLANK($E67),"",IFERROR(VLOOKUP(E67,'G1'!$E$6:$P$203,9,0),IFERROR(VLOOKUP(E67,'G2'!$E$6:$P$208,9,0),VLOOKUP(E67,'G3'!$E$6:$P$199,9,0))))</f>
        <v>ADW</v>
      </c>
      <c r="N67" s="193"/>
      <c r="O67" s="194">
        <f>IF(ISBLANK($E67),"",IFERROR(VLOOKUP(E67,'G1'!$E$6:$P$203,10,0),IFERROR(VLOOKUP(E67,'G2'!$E$6:$P$208,10,0),VLOOKUP(E67,'G3'!$E$6:$P$199,10,0))))</f>
        <v>0</v>
      </c>
      <c r="P67" s="195">
        <f>IF(ISBLANK($E67),"",IFERROR(VLOOKUP(E67,'G1'!$E$6:$P$203,11,0),IFERROR(VLOOKUP(E67,'G2'!$E$6:$P$208,11,0),VLOOKUP(E67,'G3'!$E$6:$P$199,11,0))))</f>
        <v>0</v>
      </c>
      <c r="Q67" s="196">
        <f>IF(ISBLANK($E67),"",IFERROR(VLOOKUP(E67,'G1'!$E$6:$P$203,12,0),IFERROR(VLOOKUP(E67,'G2'!$E$6:$P$208,12,0),VLOOKUP(E67,'G3'!$E$6:$P$199,12,0))))</f>
        <v>0</v>
      </c>
      <c r="S67" s="198" t="str">
        <f t="shared" si="0"/>
        <v>Sortierung A bis Z</v>
      </c>
    </row>
    <row r="68" spans="2:19" s="197" customFormat="1" ht="27.75" customHeight="1">
      <c r="B68" s="188">
        <f t="shared" si="1"/>
        <v>63</v>
      </c>
      <c r="C68" s="189">
        <f>IF(ISBLANK($E68),"",VLOOKUP($E68,Teilnehmer!$B$4:$K$199,2,0))</f>
        <v>2</v>
      </c>
      <c r="D68" s="190">
        <f>IF(ISBLANK($E68),"",VLOOKUP($E68,Teilnehmer!$B$4:$K$199,3,0))</f>
        <v>9</v>
      </c>
      <c r="E68" s="191">
        <v>30</v>
      </c>
      <c r="F68" s="181" t="str">
        <f>IF(ISBLANK($E68),"",VLOOKUP($E68,Teilnehmer!$B$4:$K$199,4,0))</f>
        <v>Röhrig Christian</v>
      </c>
      <c r="G68" s="286" t="str">
        <f>IF(ISBLANK($E68),"",VLOOKUP($E68,Teilnehmer!$B$4:$K$199,5,0))</f>
        <v>-</v>
      </c>
      <c r="H68" s="287" t="str">
        <f>IF(ISBLANK($E68),"",VLOOKUP($E68,Teilnehmer!$B$4:$K$199,6,0))</f>
        <v>MSC Zorn</v>
      </c>
      <c r="I68" s="181" t="str">
        <f>IF(ISBLANK($E68),"",VLOOKUP($E68,Teilnehmer!$B$4:$K$199,7,0))</f>
        <v>Behnke Jonas</v>
      </c>
      <c r="J68" s="286" t="str">
        <f>IF(ISBLANK($E68),"",VLOOKUP($E68,Teilnehmer!$B$4:$K$199,8,0))</f>
        <v>-</v>
      </c>
      <c r="K68" s="287" t="str">
        <f>IF(ISBLANK($E68),"",VLOOKUP($E68,Teilnehmer!$B$4:$K$199,9,0))</f>
        <v>MSC Zorn</v>
      </c>
      <c r="L68" s="315" t="str">
        <f>IF(ISBLANK($E68),"",VLOOKUP($E68,Teilnehmer!$B$4:$K$199,10,0))</f>
        <v>Peugeot 309 GTI</v>
      </c>
      <c r="M68" s="317" t="str">
        <f>IF(ISBLANK($E68),"",IFERROR(VLOOKUP(E68,'G1'!$E$6:$P$203,9,0),IFERROR(VLOOKUP(E68,'G2'!$E$6:$P$208,9,0),VLOOKUP(E68,'G3'!$E$6:$P$199,9,0))))</f>
        <v>ADW</v>
      </c>
      <c r="N68" s="193"/>
      <c r="O68" s="194">
        <f>IF(ISBLANK($E68),"",IFERROR(VLOOKUP(E68,'G1'!$E$6:$P$203,10,0),IFERROR(VLOOKUP(E68,'G2'!$E$6:$P$208,10,0),VLOOKUP(E68,'G3'!$E$6:$P$199,10,0))))</f>
        <v>0</v>
      </c>
      <c r="P68" s="195">
        <f>IF(ISBLANK($E68),"",IFERROR(VLOOKUP(E68,'G1'!$E$6:$P$203,11,0),IFERROR(VLOOKUP(E68,'G2'!$E$6:$P$208,11,0),VLOOKUP(E68,'G3'!$E$6:$P$199,11,0))))</f>
        <v>0</v>
      </c>
      <c r="Q68" s="196">
        <f>IF(ISBLANK($E68),"",IFERROR(VLOOKUP(E68,'G1'!$E$6:$P$203,12,0),IFERROR(VLOOKUP(E68,'G2'!$E$6:$P$208,12,0),VLOOKUP(E68,'G3'!$E$6:$P$199,12,0))))</f>
        <v>0</v>
      </c>
      <c r="S68" s="198" t="str">
        <f t="shared" si="0"/>
        <v>Sortierung A bis Z</v>
      </c>
    </row>
    <row r="69" spans="2:19" s="197" customFormat="1" ht="27.75" customHeight="1">
      <c r="B69" s="188">
        <f t="shared" si="1"/>
        <v>64</v>
      </c>
      <c r="C69" s="189">
        <f>IF(ISBLANK($E69),"",VLOOKUP($E69,Teilnehmer!$B$4:$K$199,2,0))</f>
        <v>2</v>
      </c>
      <c r="D69" s="190">
        <f>IF(ISBLANK($E69),"",VLOOKUP($E69,Teilnehmer!$B$4:$K$199,3,0))</f>
        <v>9</v>
      </c>
      <c r="E69" s="191">
        <v>36</v>
      </c>
      <c r="F69" s="181" t="str">
        <f>IF(ISBLANK($E69),"",VLOOKUP($E69,Teilnehmer!$B$4:$K$199,4,0))</f>
        <v>Schwarz Timo</v>
      </c>
      <c r="G69" s="286" t="str">
        <f>IF(ISBLANK($E69),"",VLOOKUP($E69,Teilnehmer!$B$4:$K$199,5,0))</f>
        <v>-</v>
      </c>
      <c r="H69" s="287" t="str">
        <f>IF(ISBLANK($E69),"",VLOOKUP($E69,Teilnehmer!$B$4:$K$199,6,0))</f>
        <v>-</v>
      </c>
      <c r="I69" s="181" t="str">
        <f>IF(ISBLANK($E69),"",VLOOKUP($E69,Teilnehmer!$B$4:$K$199,7,0))</f>
        <v>Himmelstoß Florian</v>
      </c>
      <c r="J69" s="286" t="str">
        <f>IF(ISBLANK($E69),"",VLOOKUP($E69,Teilnehmer!$B$4:$K$199,8,0))</f>
        <v>-</v>
      </c>
      <c r="K69" s="287" t="str">
        <f>IF(ISBLANK($E69),"",VLOOKUP($E69,Teilnehmer!$B$4:$K$199,9,0))</f>
        <v>-</v>
      </c>
      <c r="L69" s="315" t="str">
        <f>IF(ISBLANK($E69),"",VLOOKUP($E69,Teilnehmer!$B$4:$K$199,10,0))</f>
        <v>Opel Manta B</v>
      </c>
      <c r="M69" s="317" t="str">
        <f>IF(ISBLANK($E69),"",IFERROR(VLOOKUP(E69,'G1'!$E$6:$P$203,9,0),IFERROR(VLOOKUP(E69,'G2'!$E$6:$P$208,9,0),VLOOKUP(E69,'G3'!$E$6:$P$199,9,0))))</f>
        <v>ADW</v>
      </c>
      <c r="N69" s="193"/>
      <c r="O69" s="194">
        <f>IF(ISBLANK($E69),"",IFERROR(VLOOKUP(E69,'G1'!$E$6:$P$203,10,0),IFERROR(VLOOKUP(E69,'G2'!$E$6:$P$208,10,0),VLOOKUP(E69,'G3'!$E$6:$P$199,10,0))))</f>
        <v>0</v>
      </c>
      <c r="P69" s="195">
        <f>IF(ISBLANK($E69),"",IFERROR(VLOOKUP(E69,'G1'!$E$6:$P$203,11,0),IFERROR(VLOOKUP(E69,'G2'!$E$6:$P$208,11,0),VLOOKUP(E69,'G3'!$E$6:$P$199,11,0))))</f>
        <v>0</v>
      </c>
      <c r="Q69" s="196">
        <f>IF(ISBLANK($E69),"",IFERROR(VLOOKUP(E69,'G1'!$E$6:$P$203,12,0),IFERROR(VLOOKUP(E69,'G2'!$E$6:$P$208,12,0),VLOOKUP(E69,'G3'!$E$6:$P$199,12,0))))</f>
        <v>0</v>
      </c>
      <c r="S69" s="198" t="str">
        <f t="shared" si="0"/>
        <v>Sortierung A bis Z</v>
      </c>
    </row>
    <row r="70" spans="2:19" s="197" customFormat="1" ht="27.75" customHeight="1">
      <c r="B70" s="188">
        <f t="shared" si="1"/>
        <v>65</v>
      </c>
      <c r="C70" s="189">
        <f>IF(ISBLANK($E70),"",VLOOKUP($E70,Teilnehmer!$B$4:$K$199,2,0))</f>
        <v>2</v>
      </c>
      <c r="D70" s="190">
        <f>IF(ISBLANK($E70),"",VLOOKUP($E70,Teilnehmer!$B$4:$K$199,3,0))</f>
        <v>8</v>
      </c>
      <c r="E70" s="191">
        <v>43</v>
      </c>
      <c r="F70" s="181" t="str">
        <f>IF(ISBLANK($E70),"",VLOOKUP($E70,Teilnehmer!$B$4:$K$199,4,0))</f>
        <v>Schmitt Thomas</v>
      </c>
      <c r="G70" s="286">
        <f>IF(ISBLANK($E70),"",VLOOKUP($E70,Teilnehmer!$B$4:$K$199,5,0))</f>
        <v>15607</v>
      </c>
      <c r="H70" s="287" t="str">
        <f>IF(ISBLANK($E70),"",VLOOKUP($E70,Teilnehmer!$B$4:$K$199,6,0))</f>
        <v>-</v>
      </c>
      <c r="I70" s="181" t="str">
        <f>IF(ISBLANK($E70),"",VLOOKUP($E70,Teilnehmer!$B$4:$K$199,7,0))</f>
        <v>Sommer Petra</v>
      </c>
      <c r="J70" s="286">
        <f>IF(ISBLANK($E70),"",VLOOKUP($E70,Teilnehmer!$B$4:$K$199,8,0))</f>
        <v>15606</v>
      </c>
      <c r="K70" s="287" t="str">
        <f>IF(ISBLANK($E70),"",VLOOKUP($E70,Teilnehmer!$B$4:$K$199,9,0))</f>
        <v>-</v>
      </c>
      <c r="L70" s="315" t="str">
        <f>IF(ISBLANK($E70),"",VLOOKUP($E70,Teilnehmer!$B$4:$K$199,10,0))</f>
        <v>Toyota Corolla GT</v>
      </c>
      <c r="M70" s="317" t="str">
        <f>IF(ISBLANK($E70),"",IFERROR(VLOOKUP(E70,'G1'!$E$6:$P$203,9,0),IFERROR(VLOOKUP(E70,'G2'!$E$6:$P$208,9,0),VLOOKUP(E70,'G3'!$E$6:$P$199,9,0))))</f>
        <v>ADW</v>
      </c>
      <c r="N70" s="193"/>
      <c r="O70" s="194">
        <f>IF(ISBLANK($E70),"",IFERROR(VLOOKUP(E70,'G1'!$E$6:$P$203,10,0),IFERROR(VLOOKUP(E70,'G2'!$E$6:$P$208,10,0),VLOOKUP(E70,'G3'!$E$6:$P$199,10,0))))</f>
        <v>0</v>
      </c>
      <c r="P70" s="195">
        <f>IF(ISBLANK($E70),"",IFERROR(VLOOKUP(E70,'G1'!$E$6:$P$203,11,0),IFERROR(VLOOKUP(E70,'G2'!$E$6:$P$208,11,0),VLOOKUP(E70,'G3'!$E$6:$P$199,11,0))))</f>
        <v>0</v>
      </c>
      <c r="Q70" s="196">
        <f>IF(ISBLANK($E70),"",IFERROR(VLOOKUP(E70,'G1'!$E$6:$P$203,12,0),IFERROR(VLOOKUP(E70,'G2'!$E$6:$P$208,12,0),VLOOKUP(E70,'G3'!$E$6:$P$199,12,0))))</f>
        <v>0</v>
      </c>
      <c r="S70" s="198" t="str">
        <f t="shared" si="0"/>
        <v>Sortierung A bis Z</v>
      </c>
    </row>
    <row r="71" spans="2:19" s="197" customFormat="1" ht="27.75" customHeight="1">
      <c r="B71" s="188">
        <f t="shared" si="1"/>
        <v>66</v>
      </c>
      <c r="C71" s="189">
        <f>IF(ISBLANK($E71),"",VLOOKUP($E71,Teilnehmer!$B$4:$K$199,2,0))</f>
        <v>2</v>
      </c>
      <c r="D71" s="190">
        <f>IF(ISBLANK($E71),"",VLOOKUP($E71,Teilnehmer!$B$4:$K$199,3,0))</f>
        <v>8</v>
      </c>
      <c r="E71" s="191">
        <v>49</v>
      </c>
      <c r="F71" s="181" t="str">
        <f>IF(ISBLANK($E71),"",VLOOKUP($E71,Teilnehmer!$B$4:$K$199,4,0))</f>
        <v>Berger Axel</v>
      </c>
      <c r="G71" s="286" t="str">
        <f>IF(ISBLANK($E71),"",VLOOKUP($E71,Teilnehmer!$B$4:$K$199,5,0))</f>
        <v>-</v>
      </c>
      <c r="H71" s="287" t="str">
        <f>IF(ISBLANK($E71),"",VLOOKUP($E71,Teilnehmer!$B$4:$K$199,6,0))</f>
        <v>-</v>
      </c>
      <c r="I71" s="181" t="str">
        <f>IF(ISBLANK($E71),"",VLOOKUP($E71,Teilnehmer!$B$4:$K$199,7,0))</f>
        <v>Berger Marc</v>
      </c>
      <c r="J71" s="286" t="str">
        <f>IF(ISBLANK($E71),"",VLOOKUP($E71,Teilnehmer!$B$4:$K$199,8,0))</f>
        <v>-</v>
      </c>
      <c r="K71" s="287" t="str">
        <f>IF(ISBLANK($E71),"",VLOOKUP($E71,Teilnehmer!$B$4:$K$199,9,0))</f>
        <v>-</v>
      </c>
      <c r="L71" s="315" t="str">
        <f>IF(ISBLANK($E71),"",VLOOKUP($E71,Teilnehmer!$B$4:$K$199,10,0))</f>
        <v>Opel Corsa A</v>
      </c>
      <c r="M71" s="317" t="str">
        <f>IF(ISBLANK($E71),"",IFERROR(VLOOKUP(E71,'G1'!$E$6:$P$203,9,0),IFERROR(VLOOKUP(E71,'G2'!$E$6:$P$208,9,0),VLOOKUP(E71,'G3'!$E$6:$P$199,9,0))))</f>
        <v>ADW</v>
      </c>
      <c r="N71" s="193"/>
      <c r="O71" s="194">
        <f>IF(ISBLANK($E71),"",IFERROR(VLOOKUP(E71,'G1'!$E$6:$P$203,10,0),IFERROR(VLOOKUP(E71,'G2'!$E$6:$P$208,10,0),VLOOKUP(E71,'G3'!$E$6:$P$199,10,0))))</f>
        <v>0</v>
      </c>
      <c r="P71" s="195">
        <f>IF(ISBLANK($E71),"",IFERROR(VLOOKUP(E71,'G1'!$E$6:$P$203,11,0),IFERROR(VLOOKUP(E71,'G2'!$E$6:$P$208,11,0),VLOOKUP(E71,'G3'!$E$6:$P$199,11,0))))</f>
        <v>0</v>
      </c>
      <c r="Q71" s="196">
        <f>IF(ISBLANK($E71),"",IFERROR(VLOOKUP(E71,'G1'!$E$6:$P$203,12,0),IFERROR(VLOOKUP(E71,'G2'!$E$6:$P$208,12,0),VLOOKUP(E71,'G3'!$E$6:$P$199,12,0))))</f>
        <v>0</v>
      </c>
      <c r="S71" s="198" t="str">
        <f t="shared" ref="S71:S75" si="2">IF(ISBLANK($E71),"",IF(M72&gt;M71,"ok","Sortierung A bis Z"))</f>
        <v>Sortierung A bis Z</v>
      </c>
    </row>
    <row r="72" spans="2:19" s="197" customFormat="1" ht="27.75" customHeight="1">
      <c r="B72" s="188">
        <f t="shared" ref="B72:B75" si="3">IF(ISBLANK(E72),"",B71+1)</f>
        <v>67</v>
      </c>
      <c r="C72" s="189">
        <f>IF(ISBLANK($E72),"",VLOOKUP($E72,Teilnehmer!$B$4:$K$199,2,0))</f>
        <v>2</v>
      </c>
      <c r="D72" s="190">
        <f>IF(ISBLANK($E72),"",VLOOKUP($E72,Teilnehmer!$B$4:$K$199,3,0))</f>
        <v>7</v>
      </c>
      <c r="E72" s="191">
        <v>53</v>
      </c>
      <c r="F72" s="181" t="str">
        <f>IF(ISBLANK($E72),"",VLOOKUP($E72,Teilnehmer!$B$4:$K$199,4,0))</f>
        <v>Sarkowski Alfred</v>
      </c>
      <c r="G72" s="286">
        <f>IF(ISBLANK($E72),"",VLOOKUP($E72,Teilnehmer!$B$4:$K$199,5,0))</f>
        <v>16011</v>
      </c>
      <c r="H72" s="287" t="str">
        <f>IF(ISBLANK($E72),"",VLOOKUP($E72,Teilnehmer!$B$4:$K$199,6,0))</f>
        <v>MSC Mamming</v>
      </c>
      <c r="I72" s="181" t="str">
        <f>IF(ISBLANK($E72),"",VLOOKUP($E72,Teilnehmer!$B$4:$K$199,7,0))</f>
        <v>Sollinger Christoph</v>
      </c>
      <c r="J72" s="286">
        <f>IF(ISBLANK($E72),"",VLOOKUP($E72,Teilnehmer!$B$4:$K$199,8,0))</f>
        <v>16631</v>
      </c>
      <c r="K72" s="287" t="str">
        <f>IF(ISBLANK($E72),"",VLOOKUP($E72,Teilnehmer!$B$4:$K$199,9,0))</f>
        <v>Selzer Team Mirskofen</v>
      </c>
      <c r="L72" s="315" t="str">
        <f>IF(ISBLANK($E72),"",VLOOKUP($E72,Teilnehmer!$B$4:$K$199,10,0))</f>
        <v>VW Polo 86 c</v>
      </c>
      <c r="M72" s="317" t="str">
        <f>IF(ISBLANK($E72),"",IFERROR(VLOOKUP(E72,'G1'!$E$6:$P$203,9,0),IFERROR(VLOOKUP(E72,'G2'!$E$6:$P$208,9,0),VLOOKUP(E72,'G3'!$E$6:$P$199,9,0))))</f>
        <v>ADW</v>
      </c>
      <c r="N72" s="193"/>
      <c r="O72" s="194">
        <f>IF(ISBLANK($E72),"",IFERROR(VLOOKUP(E72,'G1'!$E$6:$P$203,10,0),IFERROR(VLOOKUP(E72,'G2'!$E$6:$P$208,10,0),VLOOKUP(E72,'G3'!$E$6:$P$199,10,0))))</f>
        <v>0</v>
      </c>
      <c r="P72" s="195">
        <f>IF(ISBLANK($E72),"",IFERROR(VLOOKUP(E72,'G1'!$E$6:$P$203,11,0),IFERROR(VLOOKUP(E72,'G2'!$E$6:$P$208,11,0),VLOOKUP(E72,'G3'!$E$6:$P$199,11,0))))</f>
        <v>0</v>
      </c>
      <c r="Q72" s="196">
        <f>IF(ISBLANK($E72),"",IFERROR(VLOOKUP(E72,'G1'!$E$6:$P$203,12,0),IFERROR(VLOOKUP(E72,'G2'!$E$6:$P$208,12,0),VLOOKUP(E72,'G3'!$E$6:$P$199,12,0))))</f>
        <v>0</v>
      </c>
      <c r="S72" s="198" t="str">
        <f t="shared" si="2"/>
        <v>Sortierung A bis Z</v>
      </c>
    </row>
    <row r="73" spans="2:19" s="197" customFormat="1" ht="27.75" customHeight="1">
      <c r="B73" s="188">
        <f t="shared" si="3"/>
        <v>68</v>
      </c>
      <c r="C73" s="189">
        <f>IF(ISBLANK($E73),"",VLOOKUP($E73,Teilnehmer!$B$4:$K$199,2,0))</f>
        <v>1</v>
      </c>
      <c r="D73" s="190">
        <f>IF(ISBLANK($E73),"",VLOOKUP($E73,Teilnehmer!$B$4:$K$199,3,0))</f>
        <v>5</v>
      </c>
      <c r="E73" s="191">
        <v>57</v>
      </c>
      <c r="F73" s="181" t="str">
        <f>IF(ISBLANK($E73),"",VLOOKUP($E73,Teilnehmer!$B$4:$K$199,4,0))</f>
        <v>Humburg Korbinian</v>
      </c>
      <c r="G73" s="286">
        <f>IF(ISBLANK($E73),"",VLOOKUP($E73,Teilnehmer!$B$4:$K$199,5,0))</f>
        <v>16308</v>
      </c>
      <c r="H73" s="287" t="str">
        <f>IF(ISBLANK($E73),"",VLOOKUP($E73,Teilnehmer!$B$4:$K$199,6,0))</f>
        <v>MSC Mamming</v>
      </c>
      <c r="I73" s="181" t="str">
        <f>IF(ISBLANK($E73),"",VLOOKUP($E73,Teilnehmer!$B$4:$K$199,7,0))</f>
        <v>Pöschl Manfred</v>
      </c>
      <c r="J73" s="286">
        <f>IF(ISBLANK($E73),"",VLOOKUP($E73,Teilnehmer!$B$4:$K$199,8,0))</f>
        <v>16309</v>
      </c>
      <c r="K73" s="287" t="str">
        <f>IF(ISBLANK($E73),"",VLOOKUP($E73,Teilnehmer!$B$4:$K$199,9,0))</f>
        <v>-</v>
      </c>
      <c r="L73" s="315" t="str">
        <f>IF(ISBLANK($E73),"",VLOOKUP($E73,Teilnehmer!$B$4:$K$199,10,0))</f>
        <v>BMW E36 328i</v>
      </c>
      <c r="M73" s="317" t="str">
        <f>IF(ISBLANK($E73),"",IFERROR(VLOOKUP(E73,'G1'!$E$6:$P$203,9,0),IFERROR(VLOOKUP(E73,'G2'!$E$6:$P$208,9,0),VLOOKUP(E73,'G3'!$E$6:$P$199,9,0))))</f>
        <v>ADW</v>
      </c>
      <c r="N73" s="193"/>
      <c r="O73" s="194">
        <f>IF(ISBLANK($E73),"",IFERROR(VLOOKUP(E73,'G1'!$E$6:$P$203,10,0),IFERROR(VLOOKUP(E73,'G2'!$E$6:$P$208,10,0),VLOOKUP(E73,'G3'!$E$6:$P$199,10,0))))</f>
        <v>0</v>
      </c>
      <c r="P73" s="195">
        <f>IF(ISBLANK($E73),"",IFERROR(VLOOKUP(E73,'G1'!$E$6:$P$203,11,0),IFERROR(VLOOKUP(E73,'G2'!$E$6:$P$208,11,0),VLOOKUP(E73,'G3'!$E$6:$P$199,11,0))))</f>
        <v>0</v>
      </c>
      <c r="Q73" s="196">
        <f>IF(ISBLANK($E73),"",IFERROR(VLOOKUP(E73,'G1'!$E$6:$P$203,12,0),IFERROR(VLOOKUP(E73,'G2'!$E$6:$P$208,12,0),VLOOKUP(E73,'G3'!$E$6:$P$199,12,0))))</f>
        <v>0</v>
      </c>
      <c r="S73" s="198" t="str">
        <f t="shared" si="2"/>
        <v>Sortierung A bis Z</v>
      </c>
    </row>
    <row r="74" spans="2:19" s="197" customFormat="1" ht="27.75" customHeight="1">
      <c r="B74" s="188">
        <f t="shared" si="3"/>
        <v>69</v>
      </c>
      <c r="C74" s="189">
        <f>IF(ISBLANK($E74),"",VLOOKUP($E74,Teilnehmer!$B$4:$K$199,2,0))</f>
        <v>1</v>
      </c>
      <c r="D74" s="190">
        <f>IF(ISBLANK($E74),"",VLOOKUP($E74,Teilnehmer!$B$4:$K$199,3,0))</f>
        <v>4</v>
      </c>
      <c r="E74" s="191">
        <v>67</v>
      </c>
      <c r="F74" s="181" t="str">
        <f>IF(ISBLANK($E74),"",VLOOKUP($E74,Teilnehmer!$B$4:$K$199,4,0))</f>
        <v>Walter Gerhard</v>
      </c>
      <c r="G74" s="286">
        <f>IF(ISBLANK($E74),"",VLOOKUP($E74,Teilnehmer!$B$4:$K$199,5,0))</f>
        <v>20268</v>
      </c>
      <c r="H74" s="287" t="str">
        <f>IF(ISBLANK($E74),"",VLOOKUP($E74,Teilnehmer!$B$4:$K$199,6,0))</f>
        <v>AC Gunzenhausen</v>
      </c>
      <c r="I74" s="181" t="str">
        <f>IF(ISBLANK($E74),"",VLOOKUP($E74,Teilnehmer!$B$4:$K$199,7,0))</f>
        <v>Schwarz Georg</v>
      </c>
      <c r="J74" s="286">
        <f>IF(ISBLANK($E74),"",VLOOKUP($E74,Teilnehmer!$B$4:$K$199,8,0))</f>
        <v>20042</v>
      </c>
      <c r="K74" s="287" t="str">
        <f>IF(ISBLANK($E74),"",VLOOKUP($E74,Teilnehmer!$B$4:$K$199,9,0))</f>
        <v>AC Gunzenhausen</v>
      </c>
      <c r="L74" s="315" t="str">
        <f>IF(ISBLANK($E74),"",VLOOKUP($E74,Teilnehmer!$B$4:$K$199,10,0))</f>
        <v>BMW 318IS</v>
      </c>
      <c r="M74" s="317" t="str">
        <f>IF(ISBLANK($E74),"",IFERROR(VLOOKUP(E74,'G1'!$E$6:$P$203,9,0),IFERROR(VLOOKUP(E74,'G2'!$E$6:$P$208,9,0),VLOOKUP(E74,'G3'!$E$6:$P$199,9,0))))</f>
        <v>ADW</v>
      </c>
      <c r="N74" s="193"/>
      <c r="O74" s="194">
        <f>IF(ISBLANK($E74),"",IFERROR(VLOOKUP(E74,'G1'!$E$6:$P$203,10,0),IFERROR(VLOOKUP(E74,'G2'!$E$6:$P$208,10,0),VLOOKUP(E74,'G3'!$E$6:$P$199,10,0))))</f>
        <v>0</v>
      </c>
      <c r="P74" s="195">
        <f>IF(ISBLANK($E74),"",IFERROR(VLOOKUP(E74,'G1'!$E$6:$P$203,11,0),IFERROR(VLOOKUP(E74,'G2'!$E$6:$P$208,11,0),VLOOKUP(E74,'G3'!$E$6:$P$199,11,0))))</f>
        <v>0</v>
      </c>
      <c r="Q74" s="196">
        <f>IF(ISBLANK($E74),"",IFERROR(VLOOKUP(E74,'G1'!$E$6:$P$203,12,0),IFERROR(VLOOKUP(E74,'G2'!$E$6:$P$208,12,0),VLOOKUP(E74,'G3'!$E$6:$P$199,12,0))))</f>
        <v>0</v>
      </c>
      <c r="S74" s="198" t="str">
        <f t="shared" si="2"/>
        <v>Sortierung A bis Z</v>
      </c>
    </row>
    <row r="75" spans="2:19" s="197" customFormat="1" ht="27.75" customHeight="1">
      <c r="B75" s="188">
        <f t="shared" si="3"/>
        <v>70</v>
      </c>
      <c r="C75" s="189">
        <f>IF(ISBLANK($E75),"",VLOOKUP($E75,Teilnehmer!$B$4:$K$199,2,0))</f>
        <v>1</v>
      </c>
      <c r="D75" s="190">
        <f>IF(ISBLANK($E75),"",VLOOKUP($E75,Teilnehmer!$B$4:$K$199,3,0))</f>
        <v>4</v>
      </c>
      <c r="E75" s="191">
        <v>69</v>
      </c>
      <c r="F75" s="181" t="str">
        <f>IF(ISBLANK($E75),"",VLOOKUP($E75,Teilnehmer!$B$4:$K$199,4,0))</f>
        <v>Heider Daniel</v>
      </c>
      <c r="G75" s="286" t="str">
        <f>IF(ISBLANK($E75),"",VLOOKUP($E75,Teilnehmer!$B$4:$K$199,5,0))</f>
        <v>-</v>
      </c>
      <c r="H75" s="287" t="str">
        <f>IF(ISBLANK($E75),"",VLOOKUP($E75,Teilnehmer!$B$4:$K$199,6,0))</f>
        <v>AC Gunzenhausen</v>
      </c>
      <c r="I75" s="181" t="str">
        <f>IF(ISBLANK($E75),"",VLOOKUP($E75,Teilnehmer!$B$4:$K$199,7,0))</f>
        <v>Heider Michael</v>
      </c>
      <c r="J75" s="286" t="str">
        <f>IF(ISBLANK($E75),"",VLOOKUP($E75,Teilnehmer!$B$4:$K$199,8,0))</f>
        <v>-</v>
      </c>
      <c r="K75" s="287" t="str">
        <f>IF(ISBLANK($E75),"",VLOOKUP($E75,Teilnehmer!$B$4:$K$199,9,0))</f>
        <v>AC Gunzenhausen</v>
      </c>
      <c r="L75" s="315" t="str">
        <f>IF(ISBLANK($E75),"",VLOOKUP($E75,Teilnehmer!$B$4:$K$199,10,0))</f>
        <v>VW Golf 2</v>
      </c>
      <c r="M75" s="317" t="str">
        <f>IF(ISBLANK($E75),"",IFERROR(VLOOKUP(E75,'G1'!$E$6:$P$203,9,0),IFERROR(VLOOKUP(E75,'G2'!$E$6:$P$208,9,0),VLOOKUP(E75,'G3'!$E$6:$P$199,9,0))))</f>
        <v>ADW</v>
      </c>
      <c r="N75" s="193"/>
      <c r="O75" s="194">
        <f>IF(ISBLANK($E75),"",IFERROR(VLOOKUP(E75,'G1'!$E$6:$P$203,10,0),IFERROR(VLOOKUP(E75,'G2'!$E$6:$P$208,10,0),VLOOKUP(E75,'G3'!$E$6:$P$199,10,0))))</f>
        <v>0</v>
      </c>
      <c r="P75" s="195">
        <f>IF(ISBLANK($E75),"",IFERROR(VLOOKUP(E75,'G1'!$E$6:$P$203,11,0),IFERROR(VLOOKUP(E75,'G2'!$E$6:$P$208,11,0),VLOOKUP(E75,'G3'!$E$6:$P$199,11,0))))</f>
        <v>0</v>
      </c>
      <c r="Q75" s="196">
        <f>IF(ISBLANK($E75),"",IFERROR(VLOOKUP(E75,'G1'!$E$6:$P$203,12,0),IFERROR(VLOOKUP(E75,'G2'!$E$6:$P$208,12,0),VLOOKUP(E75,'G3'!$E$6:$P$199,12,0))))</f>
        <v>0</v>
      </c>
      <c r="S75" s="198" t="str">
        <f t="shared" si="2"/>
        <v>Sortierung A bis Z</v>
      </c>
    </row>
    <row r="76" spans="2:19" s="13" customFormat="1" ht="27.75" customHeight="1">
      <c r="N76" s="37"/>
      <c r="O76" s="143"/>
      <c r="P76" s="143"/>
      <c r="Q76" s="143"/>
      <c r="S76" s="148"/>
    </row>
    <row r="77" spans="2:19" s="13" customFormat="1" ht="27.75" customHeight="1">
      <c r="N77" s="37"/>
      <c r="O77" s="143"/>
      <c r="P77" s="143"/>
      <c r="Q77" s="143"/>
      <c r="S77" s="148"/>
    </row>
    <row r="78" spans="2:19" s="13" customFormat="1" ht="27.75" customHeight="1">
      <c r="N78" s="37"/>
      <c r="O78" s="143"/>
      <c r="P78" s="143"/>
      <c r="Q78" s="143"/>
      <c r="S78" s="148"/>
    </row>
    <row r="79" spans="2:19" s="13" customFormat="1" ht="27.75" customHeight="1">
      <c r="N79" s="37"/>
      <c r="O79" s="143"/>
      <c r="P79" s="143"/>
      <c r="Q79" s="143"/>
      <c r="S79" s="148"/>
    </row>
    <row r="80" spans="2:19" s="13" customFormat="1" ht="27.75" customHeight="1">
      <c r="N80" s="37"/>
      <c r="O80" s="143"/>
      <c r="P80" s="143"/>
      <c r="Q80" s="143"/>
      <c r="S80" s="148"/>
    </row>
    <row r="81" spans="14:19" s="13" customFormat="1" ht="27.75" customHeight="1">
      <c r="N81" s="37"/>
      <c r="O81" s="143"/>
      <c r="P81" s="143"/>
      <c r="Q81" s="143"/>
      <c r="S81" s="148"/>
    </row>
    <row r="82" spans="14:19" s="13" customFormat="1" ht="27.75" customHeight="1">
      <c r="N82" s="37"/>
      <c r="O82" s="143"/>
      <c r="P82" s="143"/>
      <c r="Q82" s="143"/>
      <c r="S82" s="148"/>
    </row>
    <row r="83" spans="14:19" s="13" customFormat="1" ht="27.75" customHeight="1">
      <c r="N83" s="37"/>
      <c r="O83" s="143"/>
      <c r="P83" s="143"/>
      <c r="Q83" s="143"/>
      <c r="S83" s="148"/>
    </row>
  </sheetData>
  <autoFilter ref="C5:Q5" xr:uid="{51354BA6-A6FC-446F-B3EA-9418E325E081}">
    <sortState xmlns:xlrd2="http://schemas.microsoft.com/office/spreadsheetml/2017/richdata2" ref="C6:Q75">
      <sortCondition ref="M5"/>
    </sortState>
  </autoFilter>
  <mergeCells count="3">
    <mergeCell ref="B1:M1"/>
    <mergeCell ref="O4:Q4"/>
    <mergeCell ref="S2:S5"/>
  </mergeCells>
  <conditionalFormatting sqref="I6:I75 L6:L75">
    <cfRule type="cellIs" dxfId="13" priority="5" stopIfTrue="1" operator="equal">
      <formula>0</formula>
    </cfRule>
  </conditionalFormatting>
  <conditionalFormatting sqref="J4">
    <cfRule type="cellIs" dxfId="12" priority="2" operator="greaterThan">
      <formula>0</formula>
    </cfRule>
    <cfRule type="cellIs" dxfId="11" priority="3" operator="lessThan">
      <formula>0</formula>
    </cfRule>
  </conditionalFormatting>
  <conditionalFormatting sqref="S1:S2 S6:S1048576">
    <cfRule type="cellIs" dxfId="10" priority="4" operator="equal">
      <formula>"Sortierung A bis Z"</formula>
    </cfRule>
  </conditionalFormatting>
  <conditionalFormatting sqref="E6:E75">
    <cfRule type="duplicateValues" dxfId="9" priority="1441"/>
  </conditionalFormatting>
  <pageMargins left="0.70866141732283472" right="0.70866141732283472" top="0.78740157480314965" bottom="0.78740157480314965" header="0.31496062992125984" footer="0.31496062992125984"/>
  <pageSetup paperSize="9" scale="73" fitToHeight="2" orientation="portrait" r:id="rId1"/>
  <rowBreaks count="1" manualBreakCount="1">
    <brk id="27" min="1" max="12"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8A943-2BE8-4F74-A873-04C83F6B5531}">
  <sheetPr codeName="Tabelle13">
    <tabColor theme="5"/>
    <pageSetUpPr fitToPage="1"/>
  </sheetPr>
  <dimension ref="B1:L30"/>
  <sheetViews>
    <sheetView showGridLines="0" zoomScaleNormal="100" workbookViewId="0">
      <selection activeCell="E30" sqref="E30"/>
    </sheetView>
  </sheetViews>
  <sheetFormatPr defaultColWidth="11.42578125" defaultRowHeight="14.25"/>
  <cols>
    <col min="1" max="1" width="2.5703125" style="5" customWidth="1"/>
    <col min="2" max="2" width="2.7109375" style="5" customWidth="1"/>
    <col min="3" max="3" width="4.28515625" style="5" bestFit="1" customWidth="1"/>
    <col min="4" max="4" width="3.7109375" style="5" customWidth="1"/>
    <col min="5" max="5" width="12.5703125" style="13" customWidth="1"/>
    <col min="6" max="6" width="6.7109375" style="5" customWidth="1"/>
    <col min="7" max="7" width="11.42578125" style="5"/>
    <col min="8" max="8" width="10.7109375" style="13" customWidth="1"/>
    <col min="9" max="9" width="6.7109375" style="5" customWidth="1"/>
    <col min="10" max="10" width="11.42578125" style="5"/>
    <col min="11" max="11" width="11.42578125" style="5" customWidth="1"/>
    <col min="12" max="12" width="8.7109375" style="5" customWidth="1"/>
    <col min="13" max="16384" width="11.42578125" style="5"/>
  </cols>
  <sheetData>
    <row r="1" spans="2:12" s="7" customFormat="1" ht="20.25">
      <c r="B1" s="18" t="str">
        <f>Teilnehmer!B1</f>
        <v>20. Fürst von Wrede Rallye 2024</v>
      </c>
      <c r="C1" s="18"/>
      <c r="D1" s="18"/>
      <c r="E1" s="18"/>
      <c r="F1" s="18"/>
      <c r="G1" s="18"/>
      <c r="H1" s="18"/>
      <c r="I1" s="18"/>
      <c r="J1" s="18"/>
      <c r="K1" s="18"/>
      <c r="L1" s="18"/>
    </row>
    <row r="3" spans="2:12" ht="15.75">
      <c r="E3" s="8" t="s">
        <v>315</v>
      </c>
      <c r="G3" s="8" t="s">
        <v>336</v>
      </c>
      <c r="H3" s="9"/>
      <c r="I3" s="10"/>
      <c r="J3" s="11"/>
      <c r="K3" s="8"/>
    </row>
    <row r="4" spans="2:12" ht="16.5" thickBot="1">
      <c r="E4" s="8"/>
      <c r="G4" s="8"/>
      <c r="H4" s="9"/>
      <c r="I4" s="10"/>
      <c r="J4" s="11"/>
      <c r="K4" s="8"/>
    </row>
    <row r="5" spans="2:12" ht="16.5" thickBot="1">
      <c r="B5" s="8" t="s">
        <v>337</v>
      </c>
      <c r="E5" s="8"/>
      <c r="G5" s="8"/>
      <c r="H5" s="9"/>
      <c r="I5" s="10"/>
      <c r="J5" s="11"/>
      <c r="K5" s="123" t="s">
        <v>338</v>
      </c>
      <c r="L5" s="124">
        <f>SUM(L8:L12)</f>
        <v>0</v>
      </c>
    </row>
    <row r="6" spans="2:12" ht="15" thickBot="1"/>
    <row r="7" spans="2:12" ht="30" customHeight="1" thickBot="1">
      <c r="B7" s="119" t="s">
        <v>2</v>
      </c>
      <c r="C7" s="119" t="s">
        <v>3</v>
      </c>
      <c r="D7" s="120" t="s">
        <v>299</v>
      </c>
      <c r="E7" s="121" t="s">
        <v>4</v>
      </c>
      <c r="F7" s="122" t="s">
        <v>5</v>
      </c>
      <c r="G7" s="121" t="s">
        <v>6</v>
      </c>
      <c r="H7" s="121" t="s">
        <v>7</v>
      </c>
      <c r="I7" s="122" t="s">
        <v>5</v>
      </c>
      <c r="J7" s="121" t="s">
        <v>6</v>
      </c>
      <c r="K7" s="121" t="s">
        <v>8</v>
      </c>
      <c r="L7" s="122" t="s">
        <v>339</v>
      </c>
    </row>
    <row r="8" spans="2:12" s="13" customFormat="1" ht="27" customHeight="1" thickBot="1">
      <c r="B8" s="281" t="str">
        <f>IF(ISBLANK($D8),"",VLOOKUP($D8,Teilnehmer!$B$4:$K$199,2,0))</f>
        <v/>
      </c>
      <c r="C8" s="295" t="str">
        <f>IF(ISBLANK($D8),"",VLOOKUP($D8,Teilnehmer!$B$4:$K$199,3,0))</f>
        <v/>
      </c>
      <c r="D8" s="296"/>
      <c r="E8" s="297" t="str">
        <f>IF(ISBLANK($D8),"",VLOOKUP($D8,Teilnehmer!$B$4:$K$199,4,0))</f>
        <v/>
      </c>
      <c r="F8" s="298" t="str">
        <f>IF(ISBLANK($D8),"",VLOOKUP($D8,Teilnehmer!$B$4:$K$199,5,0))</f>
        <v/>
      </c>
      <c r="G8" s="299" t="str">
        <f>IF(ISBLANK($D8),"",VLOOKUP($D8,Teilnehmer!$B$4:$K$199,6,0))</f>
        <v/>
      </c>
      <c r="H8" s="297" t="str">
        <f>IF(ISBLANK($D8),"",VLOOKUP($D8,Teilnehmer!$B$4:$K$199,7,0))</f>
        <v/>
      </c>
      <c r="I8" s="298" t="str">
        <f>IF(ISBLANK($D8),"",VLOOKUP($D8,Teilnehmer!$B$4:$K$199,8,0))</f>
        <v/>
      </c>
      <c r="J8" s="299" t="str">
        <f>IF(ISBLANK($D8),"",VLOOKUP($D8,Teilnehmer!$B$4:$K$199,9,0))</f>
        <v/>
      </c>
      <c r="K8" s="287" t="str">
        <f>IF(ISBLANK($D8),"",VLOOKUP($D8,Teilnehmer!$B$4:$K$199,10,0))</f>
        <v/>
      </c>
      <c r="L8" s="282" t="str">
        <f>IF(ISBLANK($D8),"",VLOOKUP($D8,Gesamtwertung!E:Q,13,0))</f>
        <v/>
      </c>
    </row>
    <row r="9" spans="2:12" s="13" customFormat="1" ht="27" customHeight="1" thickBot="1">
      <c r="B9" s="281" t="str">
        <f>IF(ISBLANK($D9),"",VLOOKUP($D9,Teilnehmer!$B$4:$K$199,2,0))</f>
        <v/>
      </c>
      <c r="C9" s="199" t="str">
        <f>IF(ISBLANK($D9),"",VLOOKUP($D9,Teilnehmer!$B$4:$K$199,3,0))</f>
        <v/>
      </c>
      <c r="D9" s="304"/>
      <c r="E9" s="181" t="str">
        <f>IF(ISBLANK($D9),"",VLOOKUP($D9,Teilnehmer!$B$4:$K$199,4,0))</f>
        <v/>
      </c>
      <c r="F9" s="286" t="str">
        <f>IF(ISBLANK($D9),"",VLOOKUP($D9,Teilnehmer!$B$4:$K$199,5,0))</f>
        <v/>
      </c>
      <c r="G9" s="287" t="str">
        <f>IF(ISBLANK($D9),"",VLOOKUP($D9,Teilnehmer!$B$4:$K$199,6,0))</f>
        <v/>
      </c>
      <c r="H9" s="181" t="str">
        <f>IF(ISBLANK($D9),"",VLOOKUP($D9,Teilnehmer!$B$4:$K$199,7,0))</f>
        <v/>
      </c>
      <c r="I9" s="286" t="str">
        <f>IF(ISBLANK($D9),"",VLOOKUP($D9,Teilnehmer!$B$4:$K$199,8,0))</f>
        <v/>
      </c>
      <c r="J9" s="287" t="str">
        <f>IF(ISBLANK($D9),"",VLOOKUP($D9,Teilnehmer!$B$4:$K$199,9,0))</f>
        <v/>
      </c>
      <c r="K9" s="287" t="str">
        <f>IF(ISBLANK($D9),"",VLOOKUP($D9,Teilnehmer!$B$4:$K$199,10,0))</f>
        <v/>
      </c>
      <c r="L9" s="284" t="str">
        <f>IF(ISBLANK($D9),"",VLOOKUP($D9,Gesamtwertung!E:Q,13,0))</f>
        <v/>
      </c>
    </row>
    <row r="10" spans="2:12" s="13" customFormat="1" ht="27" customHeight="1" thickBot="1">
      <c r="B10" s="281" t="str">
        <f>IF(ISBLANK($D10),"",VLOOKUP($D10,Teilnehmer!$B$4:$K$199,2,0))</f>
        <v/>
      </c>
      <c r="C10" s="199" t="str">
        <f>IF(ISBLANK($D10),"",VLOOKUP($D10,Teilnehmer!$B$4:$K$199,3,0))</f>
        <v/>
      </c>
      <c r="D10" s="304"/>
      <c r="E10" s="181" t="str">
        <f>IF(ISBLANK($D10),"",VLOOKUP($D10,Teilnehmer!$B$4:$K$199,4,0))</f>
        <v/>
      </c>
      <c r="F10" s="286" t="str">
        <f>IF(ISBLANK($D10),"",VLOOKUP($D10,Teilnehmer!$B$4:$K$199,5,0))</f>
        <v/>
      </c>
      <c r="G10" s="287" t="str">
        <f>IF(ISBLANK($D10),"",VLOOKUP($D10,Teilnehmer!$B$4:$K$199,6,0))</f>
        <v/>
      </c>
      <c r="H10" s="181" t="str">
        <f>IF(ISBLANK($D10),"",VLOOKUP($D10,Teilnehmer!$B$4:$K$199,7,0))</f>
        <v/>
      </c>
      <c r="I10" s="286" t="str">
        <f>IF(ISBLANK($D10),"",VLOOKUP($D10,Teilnehmer!$B$4:$K$199,8,0))</f>
        <v/>
      </c>
      <c r="J10" s="287" t="str">
        <f>IF(ISBLANK($D10),"",VLOOKUP($D10,Teilnehmer!$B$4:$K$199,9,0))</f>
        <v/>
      </c>
      <c r="K10" s="287" t="str">
        <f>IF(ISBLANK($D10),"",VLOOKUP($D10,Teilnehmer!$B$4:$K$199,10,0))</f>
        <v/>
      </c>
      <c r="L10" s="284" t="str">
        <f>IF(ISBLANK($D10),"",VLOOKUP($D10,Gesamtwertung!E:Q,13,0))</f>
        <v/>
      </c>
    </row>
    <row r="11" spans="2:12" s="13" customFormat="1" ht="27" customHeight="1" thickBot="1">
      <c r="B11" s="281" t="str">
        <f>IF(ISBLANK($D11),"",VLOOKUP($D11,Teilnehmer!$B$4:$K$199,2,0))</f>
        <v/>
      </c>
      <c r="C11" s="199" t="str">
        <f>IF(ISBLANK($D11),"",VLOOKUP($D11,Teilnehmer!$B$4:$K$199,3,0))</f>
        <v/>
      </c>
      <c r="D11" s="304"/>
      <c r="E11" s="181" t="str">
        <f>IF(ISBLANK($D11),"",VLOOKUP($D11,Teilnehmer!$B$4:$K$199,4,0))</f>
        <v/>
      </c>
      <c r="F11" s="286" t="str">
        <f>IF(ISBLANK($D11),"",VLOOKUP($D11,Teilnehmer!$B$4:$K$199,5,0))</f>
        <v/>
      </c>
      <c r="G11" s="287" t="str">
        <f>IF(ISBLANK($D11),"",VLOOKUP($D11,Teilnehmer!$B$4:$K$199,6,0))</f>
        <v/>
      </c>
      <c r="H11" s="181" t="str">
        <f>IF(ISBLANK($D11),"",VLOOKUP($D11,Teilnehmer!$B$4:$K$199,7,0))</f>
        <v/>
      </c>
      <c r="I11" s="286" t="str">
        <f>IF(ISBLANK($D11),"",VLOOKUP($D11,Teilnehmer!$B$4:$K$199,8,0))</f>
        <v/>
      </c>
      <c r="J11" s="287" t="str">
        <f>IF(ISBLANK($D11),"",VLOOKUP($D11,Teilnehmer!$B$4:$K$199,9,0))</f>
        <v/>
      </c>
      <c r="K11" s="287" t="str">
        <f>IF(ISBLANK($D11),"",VLOOKUP($D11,Teilnehmer!$B$4:$K$199,10,0))</f>
        <v/>
      </c>
      <c r="L11" s="284" t="str">
        <f>IF(ISBLANK($D11),"",VLOOKUP($D11,Gesamtwertung!E:Q,13,0))</f>
        <v/>
      </c>
    </row>
    <row r="12" spans="2:12" s="13" customFormat="1" ht="27" customHeight="1">
      <c r="B12" s="281" t="str">
        <f>IF(ISBLANK($D12),"",VLOOKUP($D12,Teilnehmer!$B$4:$K$199,2,0))</f>
        <v/>
      </c>
      <c r="C12" s="300" t="str">
        <f>IF(ISBLANK($D12),"",VLOOKUP($D12,Teilnehmer!$B$4:$K$199,3,0))</f>
        <v/>
      </c>
      <c r="D12" s="283"/>
      <c r="E12" s="301" t="str">
        <f>IF(ISBLANK($D12),"",VLOOKUP($D12,Teilnehmer!$B$4:$K$199,4,0))</f>
        <v/>
      </c>
      <c r="F12" s="302" t="str">
        <f>IF(ISBLANK($D12),"",VLOOKUP($D12,Teilnehmer!$B$4:$K$199,5,0))</f>
        <v/>
      </c>
      <c r="G12" s="303" t="str">
        <f>IF(ISBLANK($D12),"",VLOOKUP($D12,Teilnehmer!$B$4:$K$199,6,0))</f>
        <v/>
      </c>
      <c r="H12" s="301" t="str">
        <f>IF(ISBLANK($D12),"",VLOOKUP($D12,Teilnehmer!$B$4:$K$199,7,0))</f>
        <v/>
      </c>
      <c r="I12" s="302" t="str">
        <f>IF(ISBLANK($D12),"",VLOOKUP($D12,Teilnehmer!$B$4:$K$199,8,0))</f>
        <v/>
      </c>
      <c r="J12" s="303" t="str">
        <f>IF(ISBLANK($D12),"",VLOOKUP($D12,Teilnehmer!$B$4:$K$199,9,0))</f>
        <v/>
      </c>
      <c r="K12" s="287" t="str">
        <f>IF(ISBLANK($D12),"",VLOOKUP($D12,Teilnehmer!$B$4:$K$199,10,0))</f>
        <v/>
      </c>
      <c r="L12" s="284" t="str">
        <f>IF(ISBLANK($D12),"",VLOOKUP($D12,Gesamtwertung!E:Q,13,0))</f>
        <v/>
      </c>
    </row>
    <row r="13" spans="2:12" s="13" customFormat="1" ht="27" customHeight="1" thickBot="1">
      <c r="G13" s="23"/>
      <c r="J13" s="23"/>
      <c r="L13" s="70"/>
    </row>
    <row r="14" spans="2:12" ht="16.5" thickBot="1">
      <c r="B14" s="8" t="s">
        <v>340</v>
      </c>
      <c r="E14" s="8"/>
      <c r="G14" s="8"/>
      <c r="H14" s="9"/>
      <c r="I14" s="10"/>
      <c r="J14" s="11"/>
      <c r="K14" s="123" t="s">
        <v>338</v>
      </c>
      <c r="L14" s="124">
        <f>SUM(L17:L21)</f>
        <v>0</v>
      </c>
    </row>
    <row r="15" spans="2:12" ht="15" thickBot="1"/>
    <row r="16" spans="2:12" ht="30" customHeight="1" thickBot="1">
      <c r="B16" s="119" t="s">
        <v>2</v>
      </c>
      <c r="C16" s="119" t="s">
        <v>3</v>
      </c>
      <c r="D16" s="120" t="s">
        <v>299</v>
      </c>
      <c r="E16" s="121" t="s">
        <v>4</v>
      </c>
      <c r="F16" s="122" t="s">
        <v>5</v>
      </c>
      <c r="G16" s="121" t="s">
        <v>6</v>
      </c>
      <c r="H16" s="121" t="s">
        <v>7</v>
      </c>
      <c r="I16" s="122" t="s">
        <v>5</v>
      </c>
      <c r="J16" s="121" t="s">
        <v>6</v>
      </c>
      <c r="K16" s="121" t="s">
        <v>8</v>
      </c>
      <c r="L16" s="122" t="s">
        <v>339</v>
      </c>
    </row>
    <row r="17" spans="2:12" s="13" customFormat="1" ht="27" customHeight="1" thickBot="1">
      <c r="B17" s="281" t="str">
        <f>IF(ISBLANK($D17),"",VLOOKUP($D17,Teilnehmer!$B$4:$K$199,2,0))</f>
        <v/>
      </c>
      <c r="C17" s="295" t="str">
        <f>IF(ISBLANK($D17),"",VLOOKUP($D17,Teilnehmer!$B$4:$K$199,3,0))</f>
        <v/>
      </c>
      <c r="D17" s="296"/>
      <c r="E17" s="297" t="str">
        <f>IF(ISBLANK($D17),"",VLOOKUP($D17,Teilnehmer!$B$4:$K$199,4,0))</f>
        <v/>
      </c>
      <c r="F17" s="298" t="str">
        <f>IF(ISBLANK($D17),"",VLOOKUP($D17,Teilnehmer!$B$4:$K$199,5,0))</f>
        <v/>
      </c>
      <c r="G17" s="299" t="str">
        <f>IF(ISBLANK($D17),"",VLOOKUP($D17,Teilnehmer!$B$4:$K$199,6,0))</f>
        <v/>
      </c>
      <c r="H17" s="297" t="str">
        <f>IF(ISBLANK($D17),"",VLOOKUP($D17,Teilnehmer!$B$4:$K$199,7,0))</f>
        <v/>
      </c>
      <c r="I17" s="298" t="str">
        <f>IF(ISBLANK($D17),"",VLOOKUP($D17,Teilnehmer!$B$4:$K$199,8,0))</f>
        <v/>
      </c>
      <c r="J17" s="299" t="str">
        <f>IF(ISBLANK($D17),"",VLOOKUP($D17,Teilnehmer!$B$4:$K$199,9,0))</f>
        <v/>
      </c>
      <c r="K17" s="287" t="str">
        <f>IF(ISBLANK($D17),"",VLOOKUP($D17,Teilnehmer!$B$4:$K$199,10,0))</f>
        <v/>
      </c>
      <c r="L17" s="282" t="str">
        <f>IF(ISBLANK($D17),"",VLOOKUP($D17,Gesamtwertung!E:Q,13,0))</f>
        <v/>
      </c>
    </row>
    <row r="18" spans="2:12" s="13" customFormat="1" ht="27" customHeight="1" thickBot="1">
      <c r="B18" s="281" t="str">
        <f>IF(ISBLANK($D18),"",VLOOKUP($D18,Teilnehmer!$B$4:$K$199,2,0))</f>
        <v/>
      </c>
      <c r="C18" s="199" t="str">
        <f>IF(ISBLANK($D18),"",VLOOKUP($D18,Teilnehmer!$B$4:$K$199,3,0))</f>
        <v/>
      </c>
      <c r="D18" s="304"/>
      <c r="E18" s="181" t="str">
        <f>IF(ISBLANK($D18),"",VLOOKUP($D18,Teilnehmer!$B$4:$K$199,4,0))</f>
        <v/>
      </c>
      <c r="F18" s="286" t="str">
        <f>IF(ISBLANK($D18),"",VLOOKUP($D18,Teilnehmer!$B$4:$K$199,5,0))</f>
        <v/>
      </c>
      <c r="G18" s="287" t="str">
        <f>IF(ISBLANK($D18),"",VLOOKUP($D18,Teilnehmer!$B$4:$K$199,6,0))</f>
        <v/>
      </c>
      <c r="H18" s="181" t="str">
        <f>IF(ISBLANK($D18),"",VLOOKUP($D18,Teilnehmer!$B$4:$K$199,7,0))</f>
        <v/>
      </c>
      <c r="I18" s="286" t="str">
        <f>IF(ISBLANK($D18),"",VLOOKUP($D18,Teilnehmer!$B$4:$K$199,8,0))</f>
        <v/>
      </c>
      <c r="J18" s="287" t="str">
        <f>IF(ISBLANK($D18),"",VLOOKUP($D18,Teilnehmer!$B$4:$K$199,9,0))</f>
        <v/>
      </c>
      <c r="K18" s="287" t="str">
        <f>IF(ISBLANK($D18),"",VLOOKUP($D18,Teilnehmer!$B$4:$K$199,10,0))</f>
        <v/>
      </c>
      <c r="L18" s="284" t="str">
        <f>IF(ISBLANK($D18),"",VLOOKUP($D18,Gesamtwertung!E:Q,13,0))</f>
        <v/>
      </c>
    </row>
    <row r="19" spans="2:12" s="13" customFormat="1" ht="27" customHeight="1" thickBot="1">
      <c r="B19" s="281" t="str">
        <f>IF(ISBLANK($D19),"",VLOOKUP($D19,Teilnehmer!$B$4:$K$199,2,0))</f>
        <v/>
      </c>
      <c r="C19" s="199" t="str">
        <f>IF(ISBLANK($D19),"",VLOOKUP($D19,Teilnehmer!$B$4:$K$199,3,0))</f>
        <v/>
      </c>
      <c r="D19" s="304"/>
      <c r="E19" s="181" t="str">
        <f>IF(ISBLANK($D19),"",VLOOKUP($D19,Teilnehmer!$B$4:$K$199,4,0))</f>
        <v/>
      </c>
      <c r="F19" s="286" t="str">
        <f>IF(ISBLANK($D19),"",VLOOKUP($D19,Teilnehmer!$B$4:$K$199,5,0))</f>
        <v/>
      </c>
      <c r="G19" s="287" t="str">
        <f>IF(ISBLANK($D19),"",VLOOKUP($D19,Teilnehmer!$B$4:$K$199,6,0))</f>
        <v/>
      </c>
      <c r="H19" s="181" t="str">
        <f>IF(ISBLANK($D19),"",VLOOKUP($D19,Teilnehmer!$B$4:$K$199,7,0))</f>
        <v/>
      </c>
      <c r="I19" s="286" t="str">
        <f>IF(ISBLANK($D19),"",VLOOKUP($D19,Teilnehmer!$B$4:$K$199,8,0))</f>
        <v/>
      </c>
      <c r="J19" s="287" t="str">
        <f>IF(ISBLANK($D19),"",VLOOKUP($D19,Teilnehmer!$B$4:$K$199,9,0))</f>
        <v/>
      </c>
      <c r="K19" s="287" t="str">
        <f>IF(ISBLANK($D19),"",VLOOKUP($D19,Teilnehmer!$B$4:$K$199,10,0))</f>
        <v/>
      </c>
      <c r="L19" s="284" t="str">
        <f>IF(ISBLANK($D19),"",VLOOKUP($D19,Gesamtwertung!E:Q,13,0))</f>
        <v/>
      </c>
    </row>
    <row r="20" spans="2:12" s="13" customFormat="1" ht="27" customHeight="1" thickBot="1">
      <c r="B20" s="281" t="str">
        <f>IF(ISBLANK($D20),"",VLOOKUP($D20,Teilnehmer!$B$4:$K$199,2,0))</f>
        <v/>
      </c>
      <c r="C20" s="199" t="str">
        <f>IF(ISBLANK($D20),"",VLOOKUP($D20,Teilnehmer!$B$4:$K$199,3,0))</f>
        <v/>
      </c>
      <c r="D20" s="304"/>
      <c r="E20" s="181" t="str">
        <f>IF(ISBLANK($D20),"",VLOOKUP($D20,Teilnehmer!$B$4:$K$199,4,0))</f>
        <v/>
      </c>
      <c r="F20" s="286" t="str">
        <f>IF(ISBLANK($D20),"",VLOOKUP($D20,Teilnehmer!$B$4:$K$199,5,0))</f>
        <v/>
      </c>
      <c r="G20" s="287" t="str">
        <f>IF(ISBLANK($D20),"",VLOOKUP($D20,Teilnehmer!$B$4:$K$199,6,0))</f>
        <v/>
      </c>
      <c r="H20" s="181" t="str">
        <f>IF(ISBLANK($D20),"",VLOOKUP($D20,Teilnehmer!$B$4:$K$199,7,0))</f>
        <v/>
      </c>
      <c r="I20" s="286" t="str">
        <f>IF(ISBLANK($D20),"",VLOOKUP($D20,Teilnehmer!$B$4:$K$199,8,0))</f>
        <v/>
      </c>
      <c r="J20" s="287" t="str">
        <f>IF(ISBLANK($D20),"",VLOOKUP($D20,Teilnehmer!$B$4:$K$199,9,0))</f>
        <v/>
      </c>
      <c r="K20" s="287" t="str">
        <f>IF(ISBLANK($D20),"",VLOOKUP($D20,Teilnehmer!$B$4:$K$199,10,0))</f>
        <v/>
      </c>
      <c r="L20" s="284" t="str">
        <f>IF(ISBLANK($D20),"",VLOOKUP($D20,Gesamtwertung!E:Q,13,0))</f>
        <v/>
      </c>
    </row>
    <row r="21" spans="2:12" s="13" customFormat="1" ht="27" customHeight="1">
      <c r="B21" s="281" t="str">
        <f>IF(ISBLANK($D21),"",VLOOKUP($D21,Teilnehmer!$B$4:$K$199,2,0))</f>
        <v/>
      </c>
      <c r="C21" s="300" t="str">
        <f>IF(ISBLANK($D21),"",VLOOKUP($D21,Teilnehmer!$B$4:$K$199,3,0))</f>
        <v/>
      </c>
      <c r="D21" s="283"/>
      <c r="E21" s="301" t="str">
        <f>IF(ISBLANK($D21),"",VLOOKUP($D21,Teilnehmer!$B$4:$K$199,4,0))</f>
        <v/>
      </c>
      <c r="F21" s="302" t="str">
        <f>IF(ISBLANK($D21),"",VLOOKUP($D21,Teilnehmer!$B$4:$K$199,5,0))</f>
        <v/>
      </c>
      <c r="G21" s="303" t="str">
        <f>IF(ISBLANK($D21),"",VLOOKUP($D21,Teilnehmer!$B$4:$K$199,6,0))</f>
        <v/>
      </c>
      <c r="H21" s="301" t="str">
        <f>IF(ISBLANK($D21),"",VLOOKUP($D21,Teilnehmer!$B$4:$K$199,7,0))</f>
        <v/>
      </c>
      <c r="I21" s="302" t="str">
        <f>IF(ISBLANK($D21),"",VLOOKUP($D21,Teilnehmer!$B$4:$K$199,8,0))</f>
        <v/>
      </c>
      <c r="J21" s="303" t="str">
        <f>IF(ISBLANK($D21),"",VLOOKUP($D21,Teilnehmer!$B$4:$K$199,9,0))</f>
        <v/>
      </c>
      <c r="K21" s="287" t="str">
        <f>IF(ISBLANK($D21),"",VLOOKUP($D21,Teilnehmer!$B$4:$K$199,10,0))</f>
        <v/>
      </c>
      <c r="L21" s="284" t="str">
        <f>IF(ISBLANK($D21),"",VLOOKUP($D21,Gesamtwertung!E:Q,13,0))</f>
        <v/>
      </c>
    </row>
    <row r="22" spans="2:12" s="13" customFormat="1" ht="27" customHeight="1" thickBot="1">
      <c r="G22" s="23"/>
      <c r="J22" s="23"/>
      <c r="L22" s="70"/>
    </row>
    <row r="23" spans="2:12" ht="16.5" thickBot="1">
      <c r="B23" s="8" t="s">
        <v>341</v>
      </c>
      <c r="E23" s="8"/>
      <c r="G23" s="8"/>
      <c r="H23" s="9"/>
      <c r="I23" s="10"/>
      <c r="J23" s="11"/>
      <c r="K23" s="123" t="s">
        <v>338</v>
      </c>
      <c r="L23" s="124">
        <f>SUM(L26:L30)</f>
        <v>0</v>
      </c>
    </row>
    <row r="24" spans="2:12" ht="15" thickBot="1"/>
    <row r="25" spans="2:12" ht="30" customHeight="1" thickBot="1">
      <c r="B25" s="119" t="s">
        <v>2</v>
      </c>
      <c r="C25" s="119" t="s">
        <v>3</v>
      </c>
      <c r="D25" s="120" t="s">
        <v>299</v>
      </c>
      <c r="E25" s="121" t="s">
        <v>4</v>
      </c>
      <c r="F25" s="122" t="s">
        <v>5</v>
      </c>
      <c r="G25" s="121" t="s">
        <v>6</v>
      </c>
      <c r="H25" s="121" t="s">
        <v>7</v>
      </c>
      <c r="I25" s="122" t="s">
        <v>5</v>
      </c>
      <c r="J25" s="121" t="s">
        <v>6</v>
      </c>
      <c r="K25" s="121" t="s">
        <v>8</v>
      </c>
      <c r="L25" s="122" t="s">
        <v>339</v>
      </c>
    </row>
    <row r="26" spans="2:12" s="13" customFormat="1" ht="27" customHeight="1" thickBot="1">
      <c r="B26" s="281" t="str">
        <f>IF(ISBLANK($D26),"",VLOOKUP($D26,Teilnehmer!$B$4:$K$199,2,0))</f>
        <v/>
      </c>
      <c r="C26" s="295" t="str">
        <f>IF(ISBLANK($D26),"",VLOOKUP($D26,Teilnehmer!$B$4:$K$199,3,0))</f>
        <v/>
      </c>
      <c r="D26" s="296"/>
      <c r="E26" s="297" t="str">
        <f>IF(ISBLANK($D26),"",VLOOKUP($D26,Teilnehmer!$B$4:$K$199,4,0))</f>
        <v/>
      </c>
      <c r="F26" s="298" t="str">
        <f>IF(ISBLANK($D26),"",VLOOKUP($D26,Teilnehmer!$B$4:$K$199,5,0))</f>
        <v/>
      </c>
      <c r="G26" s="299" t="str">
        <f>IF(ISBLANK($D26),"",VLOOKUP($D26,Teilnehmer!$B$4:$K$199,6,0))</f>
        <v/>
      </c>
      <c r="H26" s="297" t="str">
        <f>IF(ISBLANK($D26),"",VLOOKUP($D26,Teilnehmer!$B$4:$K$199,7,0))</f>
        <v/>
      </c>
      <c r="I26" s="298" t="str">
        <f>IF(ISBLANK($D26),"",VLOOKUP($D26,Teilnehmer!$B$4:$K$199,8,0))</f>
        <v/>
      </c>
      <c r="J26" s="287" t="str">
        <f>IF(ISBLANK($D26),"",VLOOKUP($D26,Teilnehmer!$B$4:$K$199,9,0))</f>
        <v/>
      </c>
      <c r="K26" s="287" t="str">
        <f>IF(ISBLANK($D26),"",VLOOKUP($D26,Teilnehmer!$B$4:$K$199,10,0))</f>
        <v/>
      </c>
      <c r="L26" s="282" t="str">
        <f>IF(ISBLANK($D26),"",VLOOKUP($D26,Gesamtwertung!E:Q,13,0))</f>
        <v/>
      </c>
    </row>
    <row r="27" spans="2:12" s="13" customFormat="1" ht="27" customHeight="1" thickBot="1">
      <c r="B27" s="281" t="str">
        <f>IF(ISBLANK($D27),"",VLOOKUP($D27,Teilnehmer!$B$4:$K$199,2,0))</f>
        <v/>
      </c>
      <c r="C27" s="199" t="str">
        <f>IF(ISBLANK($D27),"",VLOOKUP($D27,Teilnehmer!$B$4:$K$199,3,0))</f>
        <v/>
      </c>
      <c r="D27" s="304"/>
      <c r="E27" s="181" t="str">
        <f>IF(ISBLANK($D27),"",VLOOKUP($D27,Teilnehmer!$B$4:$K$199,4,0))</f>
        <v/>
      </c>
      <c r="F27" s="286" t="str">
        <f>IF(ISBLANK($D27),"",VLOOKUP($D27,Teilnehmer!$B$4:$K$199,5,0))</f>
        <v/>
      </c>
      <c r="G27" s="287" t="str">
        <f>IF(ISBLANK($D27),"",VLOOKUP($D27,Teilnehmer!$B$4:$K$199,6,0))</f>
        <v/>
      </c>
      <c r="H27" s="181" t="str">
        <f>IF(ISBLANK($D27),"",VLOOKUP($D27,Teilnehmer!$B$4:$K$199,7,0))</f>
        <v/>
      </c>
      <c r="I27" s="286" t="str">
        <f>IF(ISBLANK($D27),"",VLOOKUP($D27,Teilnehmer!$B$4:$K$199,8,0))</f>
        <v/>
      </c>
      <c r="J27" s="287" t="str">
        <f>IF(ISBLANK($D27),"",VLOOKUP($D27,Teilnehmer!$B$4:$K$199,9,0))</f>
        <v/>
      </c>
      <c r="K27" s="287" t="str">
        <f>IF(ISBLANK($D27),"",VLOOKUP($D27,Teilnehmer!$B$4:$K$199,10,0))</f>
        <v/>
      </c>
      <c r="L27" s="284" t="str">
        <f>IF(ISBLANK($D27),"",VLOOKUP($D27,Gesamtwertung!E:Q,13,0))</f>
        <v/>
      </c>
    </row>
    <row r="28" spans="2:12" s="13" customFormat="1" ht="27" customHeight="1" thickBot="1">
      <c r="B28" s="281" t="str">
        <f>IF(ISBLANK($D28),"",VLOOKUP($D28,Teilnehmer!$B$4:$K$199,2,0))</f>
        <v/>
      </c>
      <c r="C28" s="199" t="str">
        <f>IF(ISBLANK($D28),"",VLOOKUP($D28,Teilnehmer!$B$4:$K$199,3,0))</f>
        <v/>
      </c>
      <c r="D28" s="304"/>
      <c r="E28" s="181" t="str">
        <f>IF(ISBLANK($D28),"",VLOOKUP($D28,Teilnehmer!$B$4:$K$199,4,0))</f>
        <v/>
      </c>
      <c r="F28" s="286" t="str">
        <f>IF(ISBLANK($D28),"",VLOOKUP($D28,Teilnehmer!$B$4:$K$199,5,0))</f>
        <v/>
      </c>
      <c r="G28" s="287" t="str">
        <f>IF(ISBLANK($D28),"",VLOOKUP($D28,Teilnehmer!$B$4:$K$199,6,0))</f>
        <v/>
      </c>
      <c r="H28" s="181" t="str">
        <f>IF(ISBLANK($D28),"",VLOOKUP($D28,Teilnehmer!$B$4:$K$199,7,0))</f>
        <v/>
      </c>
      <c r="I28" s="286" t="str">
        <f>IF(ISBLANK($D28),"",VLOOKUP($D28,Teilnehmer!$B$4:$K$199,8,0))</f>
        <v/>
      </c>
      <c r="J28" s="287" t="str">
        <f>IF(ISBLANK($D28),"",VLOOKUP($D28,Teilnehmer!$B$4:$K$199,9,0))</f>
        <v/>
      </c>
      <c r="K28" s="287" t="str">
        <f>IF(ISBLANK($D28),"",VLOOKUP($D28,Teilnehmer!$B$4:$K$199,10,0))</f>
        <v/>
      </c>
      <c r="L28" s="284" t="str">
        <f>IF(ISBLANK($D28),"",VLOOKUP($D28,Gesamtwertung!E:Q,13,0))</f>
        <v/>
      </c>
    </row>
    <row r="29" spans="2:12" s="13" customFormat="1" ht="27" customHeight="1" thickBot="1">
      <c r="B29" s="281" t="str">
        <f>IF(ISBLANK($D29),"",VLOOKUP($D29,Teilnehmer!$B$4:$K$199,2,0))</f>
        <v/>
      </c>
      <c r="C29" s="199" t="str">
        <f>IF(ISBLANK($D29),"",VLOOKUP($D29,Teilnehmer!$B$4:$K$199,3,0))</f>
        <v/>
      </c>
      <c r="D29" s="304"/>
      <c r="E29" s="181" t="str">
        <f>IF(ISBLANK($D29),"",VLOOKUP($D29,Teilnehmer!$B$4:$K$199,4,0))</f>
        <v/>
      </c>
      <c r="F29" s="286" t="str">
        <f>IF(ISBLANK($D29),"",VLOOKUP($D29,Teilnehmer!$B$4:$K$199,5,0))</f>
        <v/>
      </c>
      <c r="G29" s="287" t="str">
        <f>IF(ISBLANK($D29),"",VLOOKUP($D29,Teilnehmer!$B$4:$K$199,6,0))</f>
        <v/>
      </c>
      <c r="H29" s="181" t="str">
        <f>IF(ISBLANK($D29),"",VLOOKUP($D29,Teilnehmer!$B$4:$K$199,7,0))</f>
        <v/>
      </c>
      <c r="I29" s="286" t="str">
        <f>IF(ISBLANK($D29),"",VLOOKUP($D29,Teilnehmer!$B$4:$K$199,8,0))</f>
        <v/>
      </c>
      <c r="J29" s="287" t="str">
        <f>IF(ISBLANK($D29),"",VLOOKUP($D29,Teilnehmer!$B$4:$K$199,9,0))</f>
        <v/>
      </c>
      <c r="K29" s="287" t="str">
        <f>IF(ISBLANK($D29),"",VLOOKUP($D29,Teilnehmer!$B$4:$K$199,10,0))</f>
        <v/>
      </c>
      <c r="L29" s="284" t="str">
        <f>IF(ISBLANK($D29),"",VLOOKUP($D29,Gesamtwertung!E:Q,13,0))</f>
        <v/>
      </c>
    </row>
    <row r="30" spans="2:12" s="13" customFormat="1" ht="27" customHeight="1">
      <c r="B30" s="281" t="str">
        <f>IF(ISBLANK($D30),"",VLOOKUP($D30,Teilnehmer!$B$4:$K$199,2,0))</f>
        <v/>
      </c>
      <c r="C30" s="300" t="str">
        <f>IF(ISBLANK($D30),"",VLOOKUP($D30,Teilnehmer!$B$4:$K$199,3,0))</f>
        <v/>
      </c>
      <c r="D30" s="283"/>
      <c r="E30" s="301" t="str">
        <f>IF(ISBLANK($D30),"",VLOOKUP($D30,Teilnehmer!$B$4:$K$199,4,0))</f>
        <v/>
      </c>
      <c r="F30" s="302" t="str">
        <f>IF(ISBLANK($D30),"",VLOOKUP($D30,Teilnehmer!$B$4:$K$199,5,0))</f>
        <v/>
      </c>
      <c r="G30" s="303" t="str">
        <f>IF(ISBLANK($D30),"",VLOOKUP($D30,Teilnehmer!$B$4:$K$199,6,0))</f>
        <v/>
      </c>
      <c r="H30" s="301" t="str">
        <f>IF(ISBLANK($D30),"",VLOOKUP($D30,Teilnehmer!$B$4:$K$199,7,0))</f>
        <v/>
      </c>
      <c r="I30" s="302" t="str">
        <f>IF(ISBLANK($D30),"",VLOOKUP($D30,Teilnehmer!$B$4:$K$199,8,0))</f>
        <v/>
      </c>
      <c r="J30" s="287" t="str">
        <f>IF(ISBLANK($D30),"",VLOOKUP($D30,Teilnehmer!$B$4:$K$199,9,0))</f>
        <v/>
      </c>
      <c r="K30" s="287" t="str">
        <f>IF(ISBLANK($D30),"",VLOOKUP($D30,Teilnehmer!$B$4:$K$199,10,0))</f>
        <v/>
      </c>
      <c r="L30" s="284" t="str">
        <f>IF(ISBLANK($D30),"",VLOOKUP($D30,Gesamtwertung!E:Q,13,0))</f>
        <v/>
      </c>
    </row>
  </sheetData>
  <conditionalFormatting sqref="F22:K22">
    <cfRule type="cellIs" dxfId="8" priority="5" stopIfTrue="1" operator="equal">
      <formula>0</formula>
    </cfRule>
  </conditionalFormatting>
  <conditionalFormatting sqref="F13:K13 H8:H12">
    <cfRule type="cellIs" dxfId="7" priority="6" stopIfTrue="1" operator="equal">
      <formula>0</formula>
    </cfRule>
  </conditionalFormatting>
  <conditionalFormatting sqref="H17:H21">
    <cfRule type="cellIs" dxfId="6" priority="2" stopIfTrue="1" operator="equal">
      <formula>0</formula>
    </cfRule>
  </conditionalFormatting>
  <conditionalFormatting sqref="H26:H30">
    <cfRule type="cellIs" dxfId="5" priority="1" stopIfTrue="1" operator="equal">
      <formula>0</formula>
    </cfRule>
  </conditionalFormatting>
  <pageMargins left="0.70866141732283472" right="0.70866141732283472" top="0.78740157480314965" bottom="0.78740157480314965" header="0.31496062992125984" footer="0.31496062992125984"/>
  <pageSetup paperSize="9" scale="65"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4DFF-9851-4873-9763-257A55E233CF}">
  <sheetPr>
    <tabColor theme="7" tint="-0.249977111117893"/>
  </sheetPr>
  <dimension ref="B1:Z76"/>
  <sheetViews>
    <sheetView showGridLines="0" zoomScaleNormal="100" zoomScaleSheetLayoutView="100" workbookViewId="0">
      <pane xSplit="6" ySplit="6" topLeftCell="G7" activePane="bottomRight" state="frozen"/>
      <selection pane="bottomRight" activeCell="N10" sqref="N10"/>
      <selection pane="bottomLeft" activeCell="A6" sqref="A6:XFD30"/>
      <selection pane="topRight" activeCell="A6" sqref="A6:XFD30"/>
    </sheetView>
  </sheetViews>
  <sheetFormatPr defaultColWidth="11.42578125" defaultRowHeight="14.25"/>
  <cols>
    <col min="1" max="1" width="2.7109375" style="5" customWidth="1"/>
    <col min="2" max="2" width="7.28515625" style="3" customWidth="1"/>
    <col min="3" max="5" width="4.28515625" style="5" customWidth="1"/>
    <col min="6" max="6" width="16.42578125" style="13" bestFit="1" customWidth="1"/>
    <col min="7" max="7" width="6.7109375" style="5" customWidth="1"/>
    <col min="8" max="8" width="11.7109375" style="5" customWidth="1"/>
    <col min="9" max="9" width="15.7109375" style="13" customWidth="1"/>
    <col min="10" max="10" width="6.7109375" style="5" customWidth="1"/>
    <col min="11" max="11" width="11.7109375" style="5" customWidth="1"/>
    <col min="12" max="12" width="9.7109375" style="5" customWidth="1"/>
    <col min="13" max="13" width="12.5703125" style="5" bestFit="1" customWidth="1"/>
    <col min="14" max="14" width="13.5703125" style="5" customWidth="1"/>
    <col min="15" max="15" width="12" style="5" customWidth="1"/>
    <col min="16" max="16" width="13.5703125" style="5" customWidth="1"/>
    <col min="17" max="18" width="11.85546875" style="5" customWidth="1"/>
    <col min="19" max="19" width="12.5703125" style="5" customWidth="1"/>
    <col min="20" max="20" width="13.7109375" style="5" customWidth="1"/>
    <col min="21" max="21" width="6.28515625" style="5" bestFit="1" customWidth="1"/>
    <col min="22" max="22" width="13.7109375" style="148" bestFit="1" customWidth="1"/>
    <col min="23" max="23" width="3" style="5" bestFit="1" customWidth="1"/>
    <col min="24" max="24" width="4.85546875" style="5" bestFit="1" customWidth="1"/>
    <col min="25" max="25" width="9.42578125" style="5" bestFit="1" customWidth="1"/>
    <col min="26" max="16384" width="11.42578125" style="5"/>
  </cols>
  <sheetData>
    <row r="1" spans="2:26" s="7" customFormat="1" ht="20.25">
      <c r="B1" s="18" t="str">
        <f>Teilnehmer!B1</f>
        <v>20. Fürst von Wrede Rallye 2024</v>
      </c>
      <c r="C1" s="18"/>
      <c r="D1" s="18"/>
      <c r="E1" s="18"/>
      <c r="F1" s="18"/>
      <c r="G1" s="18"/>
      <c r="H1" s="18"/>
      <c r="I1" s="18"/>
      <c r="J1" s="18"/>
      <c r="K1" s="18"/>
      <c r="L1" s="18"/>
      <c r="M1" s="18"/>
      <c r="N1" s="18"/>
      <c r="O1" s="18"/>
      <c r="P1" s="18"/>
      <c r="Q1" s="18"/>
      <c r="R1" s="18"/>
      <c r="S1" s="18"/>
      <c r="T1" s="18"/>
      <c r="V1" s="147"/>
      <c r="X1" s="62"/>
      <c r="Y1" s="61" t="s">
        <v>312</v>
      </c>
      <c r="Z1" s="101" t="s">
        <v>58</v>
      </c>
    </row>
    <row r="2" spans="2:26" s="7" customFormat="1" ht="20.25">
      <c r="B2" s="229" t="s">
        <v>342</v>
      </c>
      <c r="C2" s="37"/>
      <c r="D2" s="37"/>
      <c r="E2" s="37"/>
      <c r="F2" s="37"/>
      <c r="G2" s="37"/>
      <c r="H2" s="37"/>
      <c r="I2" s="37"/>
      <c r="J2" s="37"/>
      <c r="K2" s="37"/>
      <c r="L2" s="37"/>
      <c r="M2" s="37"/>
      <c r="N2" s="37"/>
      <c r="O2" s="37"/>
      <c r="P2" s="37"/>
      <c r="Q2" s="37"/>
      <c r="R2" s="37"/>
      <c r="S2" s="37"/>
      <c r="T2" s="37"/>
      <c r="V2" s="147"/>
      <c r="W2" s="51" t="s">
        <v>18</v>
      </c>
      <c r="X2" s="52">
        <f>Teilnehmer!$U$5</f>
        <v>0.2</v>
      </c>
      <c r="Y2" s="53">
        <f>ROUND($M$4*X2,0.5)</f>
        <v>14</v>
      </c>
    </row>
    <row r="3" spans="2:26" ht="15" customHeight="1">
      <c r="U3" s="335" t="s">
        <v>313</v>
      </c>
      <c r="V3" s="343" t="s">
        <v>314</v>
      </c>
      <c r="W3" s="54" t="s">
        <v>26</v>
      </c>
      <c r="X3" s="49">
        <f>Teilnehmer!$U$6</f>
        <v>0.25</v>
      </c>
      <c r="Y3" s="55">
        <f>Y2+ROUND($M$4*X3,0.5)</f>
        <v>32</v>
      </c>
    </row>
    <row r="4" spans="2:26" ht="15.75" customHeight="1">
      <c r="F4" s="8" t="s">
        <v>315</v>
      </c>
      <c r="H4" s="8"/>
      <c r="J4" s="10"/>
      <c r="M4" s="11">
        <f>COUNTA(C7:C76)</f>
        <v>70</v>
      </c>
      <c r="N4" s="8" t="s">
        <v>317</v>
      </c>
      <c r="P4" s="8"/>
      <c r="U4" s="335"/>
      <c r="V4" s="343"/>
      <c r="W4" s="56" t="s">
        <v>33</v>
      </c>
      <c r="X4" s="50">
        <f>Teilnehmer!$U$7</f>
        <v>0.3</v>
      </c>
      <c r="Y4" s="57">
        <f>Y3+ROUND($M$4*X4,0.5)</f>
        <v>53</v>
      </c>
    </row>
    <row r="5" spans="2:26" ht="15.75" customHeight="1" thickBot="1">
      <c r="M5" s="15">
        <f>M4-Teilnehmer!P15</f>
        <v>0</v>
      </c>
      <c r="N5" s="15" t="s">
        <v>283</v>
      </c>
      <c r="P5" s="15"/>
      <c r="U5" s="335"/>
      <c r="V5" s="343"/>
      <c r="W5" s="58" t="s">
        <v>39</v>
      </c>
      <c r="X5" s="59" t="s">
        <v>40</v>
      </c>
      <c r="Y5" s="60"/>
    </row>
    <row r="6" spans="2:26" s="183" customFormat="1" ht="48.75" customHeight="1">
      <c r="B6" s="19" t="s">
        <v>318</v>
      </c>
      <c r="C6" s="21" t="s">
        <v>299</v>
      </c>
      <c r="D6" s="232" t="s">
        <v>2</v>
      </c>
      <c r="E6" s="232" t="s">
        <v>3</v>
      </c>
      <c r="F6" s="20" t="s">
        <v>4</v>
      </c>
      <c r="G6" s="22" t="s">
        <v>5</v>
      </c>
      <c r="H6" s="20" t="s">
        <v>6</v>
      </c>
      <c r="I6" s="20" t="s">
        <v>7</v>
      </c>
      <c r="J6" s="22" t="s">
        <v>5</v>
      </c>
      <c r="K6" s="20" t="s">
        <v>6</v>
      </c>
      <c r="L6" s="20" t="s">
        <v>8</v>
      </c>
      <c r="M6" s="22" t="s">
        <v>320</v>
      </c>
      <c r="N6" s="22" t="s">
        <v>321</v>
      </c>
      <c r="O6" s="227" t="s">
        <v>322</v>
      </c>
      <c r="P6" s="22" t="s">
        <v>323</v>
      </c>
      <c r="Q6" s="22" t="s">
        <v>324</v>
      </c>
      <c r="R6" s="22" t="s">
        <v>325</v>
      </c>
      <c r="S6" s="22" t="s">
        <v>297</v>
      </c>
      <c r="T6" s="22" t="s">
        <v>326</v>
      </c>
      <c r="U6" s="335"/>
      <c r="V6" s="343"/>
      <c r="W6" s="204"/>
    </row>
    <row r="7" spans="2:26" s="197" customFormat="1" ht="27.75" customHeight="1">
      <c r="B7" s="234">
        <v>1</v>
      </c>
      <c r="C7" s="233">
        <v>2</v>
      </c>
      <c r="D7" s="235">
        <f>IF(ISBLANK($C7),"",VLOOKUP($C7,Teilnehmer!$B$4:$K$200,2,0))</f>
        <v>3</v>
      </c>
      <c r="E7" s="235">
        <f>IF(ISBLANK($C7),"",VLOOKUP($C7,Teilnehmer!$B$4:$K$200,3,0))</f>
        <v>11</v>
      </c>
      <c r="F7" s="181" t="str">
        <f>IF(ISBLANK($C7),"",VLOOKUP($C7,Teilnehmer!$B$4:$K$200,4,0))</f>
        <v>Schulze Stefan</v>
      </c>
      <c r="G7" s="206">
        <f>IF(ISBLANK($C7),"",VLOOKUP($C7,Teilnehmer!$B$4:$K$200,5,0))</f>
        <v>15615</v>
      </c>
      <c r="H7" s="192" t="str">
        <f>IF(ISBLANK($C7),"",VLOOKUP($C7,Teilnehmer!$B$4:$K$200,6,0))</f>
        <v>MSC Mamming</v>
      </c>
      <c r="I7" s="181" t="str">
        <f>IF(ISBLANK($C7),"",VLOOKUP($C7,Teilnehmer!$B$4:$K$200,7,0))</f>
        <v>Kuhn Lisa</v>
      </c>
      <c r="J7" s="206">
        <f>IF(ISBLANK($C7),"",VLOOKUP($C7,Teilnehmer!$B$4:$K$200,8,0))</f>
        <v>16075</v>
      </c>
      <c r="K7" s="192" t="str">
        <f>IF(ISBLANK($C7),"",VLOOKUP($C7,Teilnehmer!$B$4:$K$200,9,0))</f>
        <v>-</v>
      </c>
      <c r="L7" s="206" t="str">
        <f>IF(ISBLANK($C7),"",VLOOKUP($C7,Teilnehmer!$B$4:$K$200,10,0))</f>
        <v>Subaru Impreza</v>
      </c>
      <c r="M7" s="207">
        <f>IF(ISBLANK($C7),"",VLOOKUP($C7,'Ausgabe Zeiten'!M:AV,4,0))</f>
        <v>3.3124999999999405E-3</v>
      </c>
      <c r="N7" s="207">
        <f>IF(ISBLANK($C7),"",VLOOKUP($C7,'Ausgabe Zeiten'!M:AV,9,0))</f>
        <v>4.0078703703704255E-3</v>
      </c>
      <c r="O7" s="228">
        <f>IF(ISBLANK($C7),"",VLOOKUP($C7,'Ausgabe Zeiten'!M:AV,14,0))</f>
        <v>3.3053240740740231E-3</v>
      </c>
      <c r="P7" s="207">
        <f>IF(ISBLANK($C7),"",VLOOKUP($C7,'Ausgabe Zeiten'!M:AV,19,0))</f>
        <v>3.8648148148148209E-3</v>
      </c>
      <c r="Q7" s="207">
        <f>IF(ISBLANK($C7),"",VLOOKUP($C7,'Ausgabe Zeiten'!M:AV,24,0))</f>
        <v>3.3263888888889204E-3</v>
      </c>
      <c r="R7" s="207">
        <f>IF(ISBLANK($C7),"",VLOOKUP($C7,'Ausgabe Zeiten'!M:AV,29,0))</f>
        <v>0</v>
      </c>
      <c r="S7" s="207">
        <f>IF(ISBLANK($C7),"",VLOOKUP($C7,'Ausgabe Zeiten'!M:AV,35,0))</f>
        <v>3.4722222222222224E-4</v>
      </c>
      <c r="T7" s="207">
        <f>IF(ISBLANK($C7),"",VLOOKUP($C7,'Ausgabe Zeiten'!M:AV,36,0))</f>
        <v>1.8164120370370351E-2</v>
      </c>
      <c r="U7" s="208" t="str">
        <f t="shared" ref="U7:U38" si="0">IF(ISBLANK($C7),"",IF(T7-SUM(M7:S7)=0,"ok","X"))</f>
        <v>ok</v>
      </c>
      <c r="V7" s="198" t="str">
        <f>IF(ISBLANK($C7),"",IF(T8&gt;T7,"ok","Sortierung A bis Z"))</f>
        <v>Sortierung A bis Z</v>
      </c>
      <c r="W7" s="208"/>
    </row>
    <row r="8" spans="2:26" s="197" customFormat="1" ht="27.75" customHeight="1">
      <c r="B8" s="234">
        <f t="shared" ref="B8:B71" si="1">IF(ISBLANK(C8),"",B7+1)</f>
        <v>2</v>
      </c>
      <c r="C8" s="233">
        <v>1</v>
      </c>
      <c r="D8" s="235">
        <f>IF(ISBLANK($C8),"",VLOOKUP($C8,Teilnehmer!$B$4:$K$200,2,0))</f>
        <v>3</v>
      </c>
      <c r="E8" s="235">
        <f>IF(ISBLANK($C8),"",VLOOKUP($C8,Teilnehmer!$B$4:$K$200,3,0))</f>
        <v>11</v>
      </c>
      <c r="F8" s="181" t="str">
        <f>IF(ISBLANK($C8),"",VLOOKUP($C8,Teilnehmer!$B$4:$K$200,4,0))</f>
        <v>Brunken Wilfried</v>
      </c>
      <c r="G8" s="206">
        <f>IF(ISBLANK($C8),"",VLOOKUP($C8,Teilnehmer!$B$4:$K$200,5,0))</f>
        <v>15828</v>
      </c>
      <c r="H8" s="192" t="str">
        <f>IF(ISBLANK($C8),"",VLOOKUP($C8,Teilnehmer!$B$4:$K$200,6,0))</f>
        <v>MSC Ramberg</v>
      </c>
      <c r="I8" s="181" t="str">
        <f>IF(ISBLANK($C8),"",VLOOKUP($C8,Teilnehmer!$B$4:$K$200,7,0))</f>
        <v>Dietrich Manuela</v>
      </c>
      <c r="J8" s="206">
        <f>IF(ISBLANK($C8),"",VLOOKUP($C8,Teilnehmer!$B$4:$K$200,8,0))</f>
        <v>15827</v>
      </c>
      <c r="K8" s="192" t="str">
        <f>IF(ISBLANK($C8),"",VLOOKUP($C8,Teilnehmer!$B$4:$K$200,9,0))</f>
        <v>MSC Ramberg</v>
      </c>
      <c r="L8" s="206" t="str">
        <f>IF(ISBLANK($C8),"",VLOOKUP($C8,Teilnehmer!$B$4:$K$200,10,0))</f>
        <v>Mitsubishi EVO X</v>
      </c>
      <c r="M8" s="207">
        <f>IF(ISBLANK($C8),"",VLOOKUP($C8,'Ausgabe Zeiten'!M:AV,4,0))</f>
        <v>3.341319444444435E-3</v>
      </c>
      <c r="N8" s="207">
        <f>IF(ISBLANK($C8),"",VLOOKUP($C8,'Ausgabe Zeiten'!M:AV,9,0))</f>
        <v>4.0972222222222521E-3</v>
      </c>
      <c r="O8" s="228">
        <f>IF(ISBLANK($C8),"",VLOOKUP($C8,'Ausgabe Zeiten'!M:AV,14,0))</f>
        <v>3.2959490740740449E-3</v>
      </c>
      <c r="P8" s="207">
        <f>IF(ISBLANK($C8),"",VLOOKUP($C8,'Ausgabe Zeiten'!M:AV,19,0))</f>
        <v>3.8753472222221585E-3</v>
      </c>
      <c r="Q8" s="207">
        <f>IF(ISBLANK($C8),"",VLOOKUP($C8,'Ausgabe Zeiten'!M:AV,24,0))</f>
        <v>3.2714120370370692E-3</v>
      </c>
      <c r="R8" s="207">
        <f>IF(ISBLANK($C8),"",VLOOKUP($C8,'Ausgabe Zeiten'!M:AV,29,0))</f>
        <v>0</v>
      </c>
      <c r="S8" s="207">
        <f>IF(ISBLANK($C8),"",VLOOKUP($C8,'Ausgabe Zeiten'!M:AV,35,0))</f>
        <v>0</v>
      </c>
      <c r="T8" s="207">
        <f>IF(ISBLANK($C8),"",VLOOKUP($C8,'Ausgabe Zeiten'!M:AV,36,0))</f>
        <v>1.788124999999996E-2</v>
      </c>
      <c r="U8" s="208" t="str">
        <f t="shared" si="0"/>
        <v>ok</v>
      </c>
      <c r="V8" s="198" t="str">
        <f>IF(ISBLANK($C8),"",IF(T9&gt;T8,"ok","Sortierung A bis Z"))</f>
        <v>ok</v>
      </c>
      <c r="W8" s="208"/>
    </row>
    <row r="9" spans="2:26" s="197" customFormat="1" ht="27.75" customHeight="1">
      <c r="B9" s="234">
        <f t="shared" si="1"/>
        <v>3</v>
      </c>
      <c r="C9" s="233">
        <v>12</v>
      </c>
      <c r="D9" s="235">
        <f>IF(ISBLANK($C9),"",VLOOKUP($C9,Teilnehmer!$B$4:$K$200,2,0))</f>
        <v>2</v>
      </c>
      <c r="E9" s="235">
        <f>IF(ISBLANK($C9),"",VLOOKUP($C9,Teilnehmer!$B$4:$K$200,3,0))</f>
        <v>10</v>
      </c>
      <c r="F9" s="181" t="str">
        <f>IF(ISBLANK($C9),"",VLOOKUP($C9,Teilnehmer!$B$4:$K$200,4,0))</f>
        <v>Ederer Marcus</v>
      </c>
      <c r="G9" s="206" t="str">
        <f>IF(ISBLANK($C9),"",VLOOKUP($C9,Teilnehmer!$B$4:$K$200,5,0))</f>
        <v>-</v>
      </c>
      <c r="H9" s="192" t="str">
        <f>IF(ISBLANK($C9),"",VLOOKUP($C9,Teilnehmer!$B$4:$K$200,6,0))</f>
        <v>MSC Mamming</v>
      </c>
      <c r="I9" s="181" t="str">
        <f>IF(ISBLANK($C9),"",VLOOKUP($C9,Teilnehmer!$B$4:$K$200,7,0))</f>
        <v>Winnik Stella</v>
      </c>
      <c r="J9" s="206" t="str">
        <f>IF(ISBLANK($C9),"",VLOOKUP($C9,Teilnehmer!$B$4:$K$200,8,0))</f>
        <v>.</v>
      </c>
      <c r="K9" s="192" t="str">
        <f>IF(ISBLANK($C9),"",VLOOKUP($C9,Teilnehmer!$B$4:$K$200,9,0))</f>
        <v>MSC Mamming</v>
      </c>
      <c r="L9" s="206" t="str">
        <f>IF(ISBLANK($C9),"",VLOOKUP($C9,Teilnehmer!$B$4:$K$200,10,0))</f>
        <v>BMW M3</v>
      </c>
      <c r="M9" s="207">
        <f>IF(ISBLANK($C9),"",VLOOKUP($C9,'Ausgabe Zeiten'!M:AV,4,0))</f>
        <v>3.3891203703703687E-3</v>
      </c>
      <c r="N9" s="207">
        <f>IF(ISBLANK($C9),"",VLOOKUP($C9,'Ausgabe Zeiten'!M:AV,9,0))</f>
        <v>4.1412037037036331E-3</v>
      </c>
      <c r="O9" s="228">
        <f>IF(ISBLANK($C9),"",VLOOKUP($C9,'Ausgabe Zeiten'!M:AV,14,0))</f>
        <v>3.3884259259259197E-3</v>
      </c>
      <c r="P9" s="207">
        <f>IF(ISBLANK($C9),"",VLOOKUP($C9,'Ausgabe Zeiten'!M:AV,19,0))</f>
        <v>4.103472222222293E-3</v>
      </c>
      <c r="Q9" s="207">
        <f>IF(ISBLANK($C9),"",VLOOKUP($C9,'Ausgabe Zeiten'!M:AV,24,0))</f>
        <v>3.3436342592592094E-3</v>
      </c>
      <c r="R9" s="207">
        <f>IF(ISBLANK($C9),"",VLOOKUP($C9,'Ausgabe Zeiten'!M:AV,29,0))</f>
        <v>0</v>
      </c>
      <c r="S9" s="207">
        <f>IF(ISBLANK($C9),"",VLOOKUP($C9,'Ausgabe Zeiten'!M:AV,35,0))</f>
        <v>0</v>
      </c>
      <c r="T9" s="207">
        <f>IF(ISBLANK($C9),"",VLOOKUP($C9,'Ausgabe Zeiten'!M:AV,36,0))</f>
        <v>1.8365856481481424E-2</v>
      </c>
      <c r="U9" s="208" t="str">
        <f t="shared" si="0"/>
        <v>ok</v>
      </c>
      <c r="V9" s="198" t="str">
        <f t="shared" ref="V9:V54" si="2">IF(ISBLANK($C9),"",IF(T10&gt;T9,"ok","Sortierung A bis Z"))</f>
        <v>ok</v>
      </c>
      <c r="W9" s="208"/>
    </row>
    <row r="10" spans="2:26" s="197" customFormat="1" ht="27.75" customHeight="1">
      <c r="B10" s="234">
        <f t="shared" si="1"/>
        <v>4</v>
      </c>
      <c r="C10" s="233">
        <v>10</v>
      </c>
      <c r="D10" s="235">
        <f>IF(ISBLANK($C10),"",VLOOKUP($C10,Teilnehmer!$B$4:$K$200,2,0))</f>
        <v>3</v>
      </c>
      <c r="E10" s="235">
        <f>IF(ISBLANK($C10),"",VLOOKUP($C10,Teilnehmer!$B$4:$K$200,3,0))</f>
        <v>11</v>
      </c>
      <c r="F10" s="181" t="str">
        <f>IF(ISBLANK($C10),"",VLOOKUP($C10,Teilnehmer!$B$4:$K$200,4,0))</f>
        <v>Schweiger Andreas</v>
      </c>
      <c r="G10" s="206" t="str">
        <f>IF(ISBLANK($C10),"",VLOOKUP($C10,Teilnehmer!$B$4:$K$200,5,0))</f>
        <v>-</v>
      </c>
      <c r="H10" s="192" t="str">
        <f>IF(ISBLANK($C10),"",VLOOKUP($C10,Teilnehmer!$B$4:$K$200,6,0))</f>
        <v>MSC Emmersdorf</v>
      </c>
      <c r="I10" s="181" t="str">
        <f>IF(ISBLANK($C10),"",VLOOKUP($C10,Teilnehmer!$B$4:$K$200,7,0))</f>
        <v>Strobl Philip</v>
      </c>
      <c r="J10" s="206" t="str">
        <f>IF(ISBLANK($C10),"",VLOOKUP($C10,Teilnehmer!$B$4:$K$200,8,0))</f>
        <v>-</v>
      </c>
      <c r="K10" s="192" t="str">
        <f>IF(ISBLANK($C10),"",VLOOKUP($C10,Teilnehmer!$B$4:$K$200,9,0))</f>
        <v>SCC Grünthal</v>
      </c>
      <c r="L10" s="206" t="str">
        <f>IF(ISBLANK($C10),"",VLOOKUP($C10,Teilnehmer!$B$4:$K$200,10,0))</f>
        <v>Mitsubishi Lancer Evo 7</v>
      </c>
      <c r="M10" s="207">
        <f>IF(ISBLANK($C10),"",VLOOKUP($C10,'Ausgabe Zeiten'!M:AV,4,0))</f>
        <v>3.4290509259258806E-3</v>
      </c>
      <c r="N10" s="207">
        <f>IF(ISBLANK($C10),"",VLOOKUP($C10,'Ausgabe Zeiten'!M:AV,9,0))</f>
        <v>3.9508101851851718E-3</v>
      </c>
      <c r="O10" s="228">
        <f>IF(ISBLANK($C10),"",VLOOKUP($C10,'Ausgabe Zeiten'!M:AV,14,0))</f>
        <v>3.4062500000000551E-3</v>
      </c>
      <c r="P10" s="207">
        <f>IF(ISBLANK($C10),"",VLOOKUP($C10,'Ausgabe Zeiten'!M:AV,19,0))</f>
        <v>3.8924768518519004E-3</v>
      </c>
      <c r="Q10" s="207">
        <f>IF(ISBLANK($C10),"",VLOOKUP($C10,'Ausgabe Zeiten'!M:AV,24,0))</f>
        <v>3.4023148148148996E-3</v>
      </c>
      <c r="R10" s="207">
        <f>IF(ISBLANK($C10),"",VLOOKUP($C10,'Ausgabe Zeiten'!M:AV,29,0))</f>
        <v>0</v>
      </c>
      <c r="S10" s="207">
        <f>IF(ISBLANK($C10),"",VLOOKUP($C10,'Ausgabe Zeiten'!M:AV,35,0))</f>
        <v>3.4722222222222224E-4</v>
      </c>
      <c r="T10" s="207">
        <f>IF(ISBLANK($C10),"",VLOOKUP($C10,'Ausgabe Zeiten'!M:AV,36,0))</f>
        <v>1.8428125000000128E-2</v>
      </c>
      <c r="U10" s="208" t="str">
        <f t="shared" si="0"/>
        <v>ok</v>
      </c>
      <c r="V10" s="198" t="str">
        <f t="shared" si="2"/>
        <v>ok</v>
      </c>
      <c r="W10" s="208"/>
    </row>
    <row r="11" spans="2:26" s="197" customFormat="1" ht="27.75" customHeight="1">
      <c r="B11" s="234">
        <f t="shared" si="1"/>
        <v>5</v>
      </c>
      <c r="C11" s="233">
        <v>13</v>
      </c>
      <c r="D11" s="235">
        <f>IF(ISBLANK($C11),"",VLOOKUP($C11,Teilnehmer!$B$4:$K$200,2,0))</f>
        <v>2</v>
      </c>
      <c r="E11" s="235">
        <f>IF(ISBLANK($C11),"",VLOOKUP($C11,Teilnehmer!$B$4:$K$200,3,0))</f>
        <v>10</v>
      </c>
      <c r="F11" s="181" t="str">
        <f>IF(ISBLANK($C11),"",VLOOKUP($C11,Teilnehmer!$B$4:$K$200,4,0))</f>
        <v>Köhler Fritz</v>
      </c>
      <c r="G11" s="206" t="str">
        <f>IF(ISBLANK($C11),"",VLOOKUP($C11,Teilnehmer!$B$4:$K$200,5,0))</f>
        <v>-</v>
      </c>
      <c r="H11" s="192" t="str">
        <f>IF(ISBLANK($C11),"",VLOOKUP($C11,Teilnehmer!$B$4:$K$200,6,0))</f>
        <v>-</v>
      </c>
      <c r="I11" s="181" t="str">
        <f>IF(ISBLANK($C11),"",VLOOKUP($C11,Teilnehmer!$B$4:$K$200,7,0))</f>
        <v>Hägele Petra</v>
      </c>
      <c r="J11" s="206" t="str">
        <f>IF(ISBLANK($C11),"",VLOOKUP($C11,Teilnehmer!$B$4:$K$200,8,0))</f>
        <v>-</v>
      </c>
      <c r="K11" s="192" t="str">
        <f>IF(ISBLANK($C11),"",VLOOKUP($C11,Teilnehmer!$B$4:$K$200,9,0))</f>
        <v>-</v>
      </c>
      <c r="L11" s="206" t="str">
        <f>IF(ISBLANK($C11),"",VLOOKUP($C11,Teilnehmer!$B$4:$K$200,10,0))</f>
        <v>BMW M3 e30</v>
      </c>
      <c r="M11" s="207">
        <f>IF(ISBLANK($C11),"",VLOOKUP($C11,'Ausgabe Zeiten'!M:AV,4,0))</f>
        <v>3.4377314814814652E-3</v>
      </c>
      <c r="N11" s="207">
        <f>IF(ISBLANK($C11),"",VLOOKUP($C11,'Ausgabe Zeiten'!M:AV,9,0))</f>
        <v>4.349537037036999E-3</v>
      </c>
      <c r="O11" s="228">
        <f>IF(ISBLANK($C11),"",VLOOKUP($C11,'Ausgabe Zeiten'!M:AV,14,0))</f>
        <v>3.4093749999999368E-3</v>
      </c>
      <c r="P11" s="207">
        <f>IF(ISBLANK($C11),"",VLOOKUP($C11,'Ausgabe Zeiten'!M:AV,19,0))</f>
        <v>4.1009259259259245E-3</v>
      </c>
      <c r="Q11" s="207">
        <f>IF(ISBLANK($C11),"",VLOOKUP($C11,'Ausgabe Zeiten'!M:AV,24,0))</f>
        <v>3.3540509259259998E-3</v>
      </c>
      <c r="R11" s="207">
        <f>IF(ISBLANK($C11),"",VLOOKUP($C11,'Ausgabe Zeiten'!M:AV,29,0))</f>
        <v>0</v>
      </c>
      <c r="S11" s="207">
        <f>IF(ISBLANK($C11),"",VLOOKUP($C11,'Ausgabe Zeiten'!M:AV,35,0))</f>
        <v>3.4722222222222224E-4</v>
      </c>
      <c r="T11" s="207">
        <f>IF(ISBLANK($C11),"",VLOOKUP($C11,'Ausgabe Zeiten'!M:AV,36,0))</f>
        <v>1.8998842592592546E-2</v>
      </c>
      <c r="U11" s="208" t="str">
        <f t="shared" si="0"/>
        <v>ok</v>
      </c>
      <c r="V11" s="198" t="str">
        <f t="shared" si="2"/>
        <v>Sortierung A bis Z</v>
      </c>
      <c r="W11" s="208"/>
    </row>
    <row r="12" spans="2:26" s="197" customFormat="1" ht="27.75" customHeight="1">
      <c r="B12" s="234">
        <f t="shared" si="1"/>
        <v>6</v>
      </c>
      <c r="C12" s="233">
        <v>7</v>
      </c>
      <c r="D12" s="235">
        <f>IF(ISBLANK($C12),"",VLOOKUP($C12,Teilnehmer!$B$4:$K$200,2,0))</f>
        <v>3</v>
      </c>
      <c r="E12" s="235">
        <f>IF(ISBLANK($C12),"",VLOOKUP($C12,Teilnehmer!$B$4:$K$200,3,0))</f>
        <v>11</v>
      </c>
      <c r="F12" s="181" t="str">
        <f>IF(ISBLANK($C12),"",VLOOKUP($C12,Teilnehmer!$B$4:$K$200,4,0))</f>
        <v>Kübler Ulrich</v>
      </c>
      <c r="G12" s="206" t="str">
        <f>IF(ISBLANK($C12),"",VLOOKUP($C12,Teilnehmer!$B$4:$K$200,5,0))</f>
        <v>-</v>
      </c>
      <c r="H12" s="192" t="str">
        <f>IF(ISBLANK($C12),"",VLOOKUP($C12,Teilnehmer!$B$4:$K$200,6,0))</f>
        <v>HMC Öhringen</v>
      </c>
      <c r="I12" s="181" t="str">
        <f>IF(ISBLANK($C12),"",VLOOKUP($C12,Teilnehmer!$B$4:$K$200,7,0))</f>
        <v>Kübler Rick</v>
      </c>
      <c r="J12" s="206" t="str">
        <f>IF(ISBLANK($C12),"",VLOOKUP($C12,Teilnehmer!$B$4:$K$200,8,0))</f>
        <v>-</v>
      </c>
      <c r="K12" s="192" t="str">
        <f>IF(ISBLANK($C12),"",VLOOKUP($C12,Teilnehmer!$B$4:$K$200,9,0))</f>
        <v>-</v>
      </c>
      <c r="L12" s="206" t="str">
        <f>IF(ISBLANK($C12),"",VLOOKUP($C12,Teilnehmer!$B$4:$K$200,10,0))</f>
        <v>Mitsubishi Lancer EVO 8</v>
      </c>
      <c r="M12" s="207">
        <f>IF(ISBLANK($C12),"",VLOOKUP($C12,'Ausgabe Zeiten'!M:AV,4,0))</f>
        <v>3.5446759259259442E-3</v>
      </c>
      <c r="N12" s="207">
        <f>IF(ISBLANK($C12),"",VLOOKUP($C12,'Ausgabe Zeiten'!M:AV,9,0))</f>
        <v>4.1614583333332567E-3</v>
      </c>
      <c r="O12" s="228">
        <f>IF(ISBLANK($C12),"",VLOOKUP($C12,'Ausgabe Zeiten'!M:AV,14,0))</f>
        <v>3.4776620370371436E-3</v>
      </c>
      <c r="P12" s="207">
        <f>IF(ISBLANK($C12),"",VLOOKUP($C12,'Ausgabe Zeiten'!M:AV,19,0))</f>
        <v>3.9900462962964012E-3</v>
      </c>
      <c r="Q12" s="207">
        <f>IF(ISBLANK($C12),"",VLOOKUP($C12,'Ausgabe Zeiten'!M:AV,24,0))</f>
        <v>3.4947916666666634E-3</v>
      </c>
      <c r="R12" s="207">
        <f>IF(ISBLANK($C12),"",VLOOKUP($C12,'Ausgabe Zeiten'!M:AV,29,0))</f>
        <v>0</v>
      </c>
      <c r="S12" s="207">
        <f>IF(ISBLANK($C12),"",VLOOKUP($C12,'Ausgabe Zeiten'!M:AV,35,0))</f>
        <v>0</v>
      </c>
      <c r="T12" s="207">
        <f>IF(ISBLANK($C12),"",VLOOKUP($C12,'Ausgabe Zeiten'!M:AV,36,0))</f>
        <v>1.8668634259259409E-2</v>
      </c>
      <c r="U12" s="208" t="str">
        <f t="shared" si="0"/>
        <v>ok</v>
      </c>
      <c r="V12" s="198" t="str">
        <f t="shared" si="2"/>
        <v>ok</v>
      </c>
      <c r="W12" s="208"/>
    </row>
    <row r="13" spans="2:26" s="197" customFormat="1" ht="27.75" customHeight="1">
      <c r="B13" s="234">
        <f t="shared" si="1"/>
        <v>7</v>
      </c>
      <c r="C13" s="233">
        <v>3</v>
      </c>
      <c r="D13" s="235">
        <f>IF(ISBLANK($C13),"",VLOOKUP($C13,Teilnehmer!$B$4:$K$200,2,0))</f>
        <v>3</v>
      </c>
      <c r="E13" s="235">
        <f>IF(ISBLANK($C13),"",VLOOKUP($C13,Teilnehmer!$B$4:$K$200,3,0))</f>
        <v>11</v>
      </c>
      <c r="F13" s="181" t="str">
        <f>IF(ISBLANK($C13),"",VLOOKUP($C13,Teilnehmer!$B$4:$K$200,4,0))</f>
        <v>Köhler Stephan</v>
      </c>
      <c r="G13" s="206">
        <f>IF(ISBLANK($C13),"",VLOOKUP($C13,Teilnehmer!$B$4:$K$200,5,0))</f>
        <v>15208</v>
      </c>
      <c r="H13" s="192" t="str">
        <f>IF(ISBLANK($C13),"",VLOOKUP($C13,Teilnehmer!$B$4:$K$200,6,0))</f>
        <v>MSC Mamming</v>
      </c>
      <c r="I13" s="181" t="str">
        <f>IF(ISBLANK($C13),"",VLOOKUP($C13,Teilnehmer!$B$4:$K$200,7,0))</f>
        <v>Schachtner Michaela</v>
      </c>
      <c r="J13" s="206">
        <f>IF(ISBLANK($C13),"",VLOOKUP($C13,Teilnehmer!$B$4:$K$200,8,0))</f>
        <v>16147</v>
      </c>
      <c r="K13" s="192" t="str">
        <f>IF(ISBLANK($C13),"",VLOOKUP($C13,Teilnehmer!$B$4:$K$200,9,0))</f>
        <v>MSC Emmersdorf</v>
      </c>
      <c r="L13" s="206" t="str">
        <f>IF(ISBLANK($C13),"",VLOOKUP($C13,Teilnehmer!$B$4:$K$200,10,0))</f>
        <v>Mitsubishi EV6</v>
      </c>
      <c r="M13" s="207">
        <f>IF(ISBLANK($C13),"",VLOOKUP($C13,'Ausgabe Zeiten'!M:AV,4,0))</f>
        <v>3.5736111111111524E-3</v>
      </c>
      <c r="N13" s="207">
        <f>IF(ISBLANK($C13),"",VLOOKUP($C13,'Ausgabe Zeiten'!M:AV,9,0))</f>
        <v>4.47233796296298E-3</v>
      </c>
      <c r="O13" s="228">
        <f>IF(ISBLANK($C13),"",VLOOKUP($C13,'Ausgabe Zeiten'!M:AV,14,0))</f>
        <v>3.5224537037037429E-3</v>
      </c>
      <c r="P13" s="207">
        <f>IF(ISBLANK($C13),"",VLOOKUP($C13,'Ausgabe Zeiten'!M:AV,19,0))</f>
        <v>4.1208333333333513E-3</v>
      </c>
      <c r="Q13" s="207">
        <f>IF(ISBLANK($C13),"",VLOOKUP($C13,'Ausgabe Zeiten'!M:AV,24,0))</f>
        <v>3.5251157407407696E-3</v>
      </c>
      <c r="R13" s="207">
        <f>IF(ISBLANK($C13),"",VLOOKUP($C13,'Ausgabe Zeiten'!M:AV,29,0))</f>
        <v>0</v>
      </c>
      <c r="S13" s="207">
        <f>IF(ISBLANK($C13),"",VLOOKUP($C13,'Ausgabe Zeiten'!M:AV,35,0))</f>
        <v>0</v>
      </c>
      <c r="T13" s="207">
        <f>IF(ISBLANK($C13),"",VLOOKUP($C13,'Ausgabe Zeiten'!M:AV,36,0))</f>
        <v>1.9214351851851996E-2</v>
      </c>
      <c r="U13" s="208" t="str">
        <f t="shared" si="0"/>
        <v>ok</v>
      </c>
      <c r="V13" s="198" t="str">
        <f t="shared" si="2"/>
        <v>Sortierung A bis Z</v>
      </c>
      <c r="W13" s="208"/>
    </row>
    <row r="14" spans="2:26" s="197" customFormat="1" ht="27.75" customHeight="1">
      <c r="B14" s="234">
        <f t="shared" si="1"/>
        <v>8</v>
      </c>
      <c r="C14" s="233">
        <v>26</v>
      </c>
      <c r="D14" s="235">
        <f>IF(ISBLANK($C14),"",VLOOKUP($C14,Teilnehmer!$B$4:$K$200,2,0))</f>
        <v>2</v>
      </c>
      <c r="E14" s="235">
        <f>IF(ISBLANK($C14),"",VLOOKUP($C14,Teilnehmer!$B$4:$K$200,3,0))</f>
        <v>9</v>
      </c>
      <c r="F14" s="181" t="str">
        <f>IF(ISBLANK($C14),"",VLOOKUP($C14,Teilnehmer!$B$4:$K$200,4,0))</f>
        <v>Hammel Daniel</v>
      </c>
      <c r="G14" s="206" t="str">
        <f>IF(ISBLANK($C14),"",VLOOKUP($C14,Teilnehmer!$B$4:$K$200,5,0))</f>
        <v>-</v>
      </c>
      <c r="H14" s="192" t="str">
        <f>IF(ISBLANK($C14),"",VLOOKUP($C14,Teilnehmer!$B$4:$K$200,6,0))</f>
        <v>HMC Öhringen</v>
      </c>
      <c r="I14" s="181" t="str">
        <f>IF(ISBLANK($C14),"",VLOOKUP($C14,Teilnehmer!$B$4:$K$200,7,0))</f>
        <v>Klotz Matthias</v>
      </c>
      <c r="J14" s="206" t="str">
        <f>IF(ISBLANK($C14),"",VLOOKUP($C14,Teilnehmer!$B$4:$K$200,8,0))</f>
        <v>-</v>
      </c>
      <c r="K14" s="192" t="str">
        <f>IF(ISBLANK($C14),"",VLOOKUP($C14,Teilnehmer!$B$4:$K$200,9,0))</f>
        <v>-</v>
      </c>
      <c r="L14" s="206" t="str">
        <f>IF(ISBLANK($C14),"",VLOOKUP($C14,Teilnehmer!$B$4:$K$200,10,0))</f>
        <v>Honda Civic Type-R FN2</v>
      </c>
      <c r="M14" s="207">
        <f>IF(ISBLANK($C14),"",VLOOKUP($C14,'Ausgabe Zeiten'!M:AV,4,0))</f>
        <v>3.5798611111110823E-3</v>
      </c>
      <c r="N14" s="207">
        <f>IF(ISBLANK($C14),"",VLOOKUP($C14,'Ausgabe Zeiten'!M:AV,9,0))</f>
        <v>4.2652777777778539E-3</v>
      </c>
      <c r="O14" s="228">
        <f>IF(ISBLANK($C14),"",VLOOKUP($C14,'Ausgabe Zeiten'!M:AV,14,0))</f>
        <v>3.5771990740740556E-3</v>
      </c>
      <c r="P14" s="207">
        <f>IF(ISBLANK($C14),"",VLOOKUP($C14,'Ausgabe Zeiten'!M:AV,19,0))</f>
        <v>4.1717592592592778E-3</v>
      </c>
      <c r="Q14" s="207">
        <f>IF(ISBLANK($C14),"",VLOOKUP($C14,'Ausgabe Zeiten'!M:AV,24,0))</f>
        <v>3.607638888888931E-3</v>
      </c>
      <c r="R14" s="207">
        <f>IF(ISBLANK($C14),"",VLOOKUP($C14,'Ausgabe Zeiten'!M:AV,29,0))</f>
        <v>0</v>
      </c>
      <c r="S14" s="207">
        <f>IF(ISBLANK($C14),"",VLOOKUP($C14,'Ausgabe Zeiten'!M:AV,35,0))</f>
        <v>0</v>
      </c>
      <c r="T14" s="207">
        <f>IF(ISBLANK($C14),"",VLOOKUP($C14,'Ausgabe Zeiten'!M:AV,36,0))</f>
        <v>1.9201736111111201E-2</v>
      </c>
      <c r="U14" s="208" t="str">
        <f t="shared" si="0"/>
        <v>ok</v>
      </c>
      <c r="V14" s="198" t="str">
        <f t="shared" si="2"/>
        <v>ok</v>
      </c>
      <c r="W14" s="208"/>
    </row>
    <row r="15" spans="2:26" s="197" customFormat="1" ht="27.75" customHeight="1">
      <c r="B15" s="234">
        <f t="shared" si="1"/>
        <v>9</v>
      </c>
      <c r="C15" s="233">
        <v>4</v>
      </c>
      <c r="D15" s="235">
        <f>IF(ISBLANK($C15),"",VLOOKUP($C15,Teilnehmer!$B$4:$K$200,2,0))</f>
        <v>3</v>
      </c>
      <c r="E15" s="235">
        <f>IF(ISBLANK($C15),"",VLOOKUP($C15,Teilnehmer!$B$4:$K$200,3,0))</f>
        <v>11</v>
      </c>
      <c r="F15" s="181" t="str">
        <f>IF(ISBLANK($C15),"",VLOOKUP($C15,Teilnehmer!$B$4:$K$200,4,0))</f>
        <v>Rader Manfred</v>
      </c>
      <c r="G15" s="206">
        <f>IF(ISBLANK($C15),"",VLOOKUP($C15,Teilnehmer!$B$4:$K$200,5,0))</f>
        <v>15053</v>
      </c>
      <c r="H15" s="192" t="str">
        <f>IF(ISBLANK($C15),"",VLOOKUP($C15,Teilnehmer!$B$4:$K$200,6,0))</f>
        <v>-</v>
      </c>
      <c r="I15" s="181" t="str">
        <f>IF(ISBLANK($C15),"",VLOOKUP($C15,Teilnehmer!$B$4:$K$200,7,0))</f>
        <v>Hierbeck Andreas</v>
      </c>
      <c r="J15" s="206" t="str">
        <f>IF(ISBLANK($C15),"",VLOOKUP($C15,Teilnehmer!$B$4:$K$200,8,0))</f>
        <v>-</v>
      </c>
      <c r="K15" s="192" t="str">
        <f>IF(ISBLANK($C15),"",VLOOKUP($C15,Teilnehmer!$B$4:$K$200,9,0))</f>
        <v>-</v>
      </c>
      <c r="L15" s="206" t="str">
        <f>IF(ISBLANK($C15),"",VLOOKUP($C15,Teilnehmer!$B$4:$K$200,10,0))</f>
        <v>Audi 80 Quattro</v>
      </c>
      <c r="M15" s="207">
        <f>IF(ISBLANK($C15),"",VLOOKUP($C15,'Ausgabe Zeiten'!M:AV,4,0))</f>
        <v>3.6230324074074671E-3</v>
      </c>
      <c r="N15" s="207" t="str">
        <f>IF(ISBLANK($C15),"",VLOOKUP($C15,'Ausgabe Zeiten'!M:AV,9,0))</f>
        <v>ADW</v>
      </c>
      <c r="O15" s="228" t="str">
        <f>IF(ISBLANK($C15),"",VLOOKUP($C15,'Ausgabe Zeiten'!M:AV,14,0))</f>
        <v>ADW</v>
      </c>
      <c r="P15" s="207" t="str">
        <f>IF(ISBLANK($C15),"",VLOOKUP($C15,'Ausgabe Zeiten'!M:AV,19,0))</f>
        <v>ADW</v>
      </c>
      <c r="Q15" s="207" t="str">
        <f>IF(ISBLANK($C15),"",VLOOKUP($C15,'Ausgabe Zeiten'!M:AV,24,0))</f>
        <v>ADW</v>
      </c>
      <c r="R15" s="207">
        <f>IF(ISBLANK($C15),"",VLOOKUP($C15,'Ausgabe Zeiten'!M:AV,29,0))</f>
        <v>0</v>
      </c>
      <c r="S15" s="207">
        <f>IF(ISBLANK($C15),"",VLOOKUP($C15,'Ausgabe Zeiten'!M:AV,35,0))</f>
        <v>0</v>
      </c>
      <c r="T15" s="207" t="str">
        <f>IF(ISBLANK($C15),"",VLOOKUP($C15,'Ausgabe Zeiten'!M:AV,36,0))</f>
        <v>ADW</v>
      </c>
      <c r="U15" s="208" t="e">
        <f t="shared" si="0"/>
        <v>#VALUE!</v>
      </c>
      <c r="V15" s="198" t="str">
        <f t="shared" si="2"/>
        <v>Sortierung A bis Z</v>
      </c>
      <c r="W15" s="208"/>
    </row>
    <row r="16" spans="2:26" s="197" customFormat="1" ht="27.75" customHeight="1">
      <c r="B16" s="234">
        <f t="shared" si="1"/>
        <v>10</v>
      </c>
      <c r="C16" s="233">
        <v>44</v>
      </c>
      <c r="D16" s="235">
        <f>IF(ISBLANK($C16),"",VLOOKUP($C16,Teilnehmer!$B$4:$K$200,2,0))</f>
        <v>2</v>
      </c>
      <c r="E16" s="235">
        <f>IF(ISBLANK($C16),"",VLOOKUP($C16,Teilnehmer!$B$4:$K$200,3,0))</f>
        <v>8</v>
      </c>
      <c r="F16" s="181" t="str">
        <f>IF(ISBLANK($C16),"",VLOOKUP($C16,Teilnehmer!$B$4:$K$200,4,0))</f>
        <v>Michel Torsten</v>
      </c>
      <c r="G16" s="206">
        <f>IF(ISBLANK($C16),"",VLOOKUP($C16,Teilnehmer!$B$4:$K$200,5,0))</f>
        <v>14855</v>
      </c>
      <c r="H16" s="192" t="str">
        <f>IF(ISBLANK($C16),"",VLOOKUP($C16,Teilnehmer!$B$4:$K$200,6,0))</f>
        <v>Chaosteam Motorsport</v>
      </c>
      <c r="I16" s="181" t="str">
        <f>IF(ISBLANK($C16),"",VLOOKUP($C16,Teilnehmer!$B$4:$K$200,7,0))</f>
        <v>Diehm Samantha</v>
      </c>
      <c r="J16" s="206">
        <f>IF(ISBLANK($C16),"",VLOOKUP($C16,Teilnehmer!$B$4:$K$200,8,0))</f>
        <v>15622</v>
      </c>
      <c r="K16" s="192" t="str">
        <f>IF(ISBLANK($C16),"",VLOOKUP($C16,Teilnehmer!$B$4:$K$200,9,0))</f>
        <v>Chaosteam Motorsport</v>
      </c>
      <c r="L16" s="206" t="str">
        <f>IF(ISBLANK($C16),"",VLOOKUP($C16,Teilnehmer!$B$4:$K$200,10,0))</f>
        <v>Ford Fiesta Rally 4</v>
      </c>
      <c r="M16" s="207">
        <f>IF(ISBLANK($C16),"",VLOOKUP($C16,'Ausgabe Zeiten'!M:AV,4,0))</f>
        <v>3.6276620370370161E-3</v>
      </c>
      <c r="N16" s="207">
        <f>IF(ISBLANK($C16),"",VLOOKUP($C16,'Ausgabe Zeiten'!M:AV,9,0))</f>
        <v>4.3420138888888848E-3</v>
      </c>
      <c r="O16" s="228">
        <f>IF(ISBLANK($C16),"",VLOOKUP($C16,'Ausgabe Zeiten'!M:AV,14,0))</f>
        <v>3.6292824074074526E-3</v>
      </c>
      <c r="P16" s="207">
        <f>IF(ISBLANK($C16),"",VLOOKUP($C16,'Ausgabe Zeiten'!M:AV,19,0))</f>
        <v>4.2653935185185121E-3</v>
      </c>
      <c r="Q16" s="207">
        <f>IF(ISBLANK($C16),"",VLOOKUP($C16,'Ausgabe Zeiten'!M:AV,24,0))</f>
        <v>3.5636574074073835E-3</v>
      </c>
      <c r="R16" s="207">
        <f>IF(ISBLANK($C16),"",VLOOKUP($C16,'Ausgabe Zeiten'!M:AV,29,0))</f>
        <v>0</v>
      </c>
      <c r="S16" s="207">
        <f>IF(ISBLANK($C16),"",VLOOKUP($C16,'Ausgabe Zeiten'!M:AV,35,0))</f>
        <v>0</v>
      </c>
      <c r="T16" s="207">
        <f>IF(ISBLANK($C16),"",VLOOKUP($C16,'Ausgabe Zeiten'!M:AV,36,0))</f>
        <v>1.9428009259259249E-2</v>
      </c>
      <c r="U16" s="208" t="str">
        <f t="shared" si="0"/>
        <v>ok</v>
      </c>
      <c r="V16" s="198" t="str">
        <f t="shared" si="2"/>
        <v>ok</v>
      </c>
      <c r="W16" s="208"/>
    </row>
    <row r="17" spans="2:23" s="197" customFormat="1" ht="27.75" customHeight="1">
      <c r="B17" s="234">
        <f t="shared" si="1"/>
        <v>11</v>
      </c>
      <c r="C17" s="233">
        <v>24</v>
      </c>
      <c r="D17" s="235">
        <f>IF(ISBLANK($C17),"",VLOOKUP($C17,Teilnehmer!$B$4:$K$200,2,0))</f>
        <v>2</v>
      </c>
      <c r="E17" s="235">
        <f>IF(ISBLANK($C17),"",VLOOKUP($C17,Teilnehmer!$B$4:$K$200,3,0))</f>
        <v>9</v>
      </c>
      <c r="F17" s="181" t="str">
        <f>IF(ISBLANK($C17),"",VLOOKUP($C17,Teilnehmer!$B$4:$K$200,4,0))</f>
        <v>Böhringer Jochen</v>
      </c>
      <c r="G17" s="206" t="str">
        <f>IF(ISBLANK($C17),"",VLOOKUP($C17,Teilnehmer!$B$4:$K$200,5,0))</f>
        <v>-</v>
      </c>
      <c r="H17" s="192" t="str">
        <f>IF(ISBLANK($C17),"",VLOOKUP($C17,Teilnehmer!$B$4:$K$200,6,0))</f>
        <v>HWRT Wohlmuthausen</v>
      </c>
      <c r="I17" s="181" t="str">
        <f>IF(ISBLANK($C17),"",VLOOKUP($C17,Teilnehmer!$B$4:$K$200,7,0))</f>
        <v>Arnold Patrick</v>
      </c>
      <c r="J17" s="206" t="str">
        <f>IF(ISBLANK($C17),"",VLOOKUP($C17,Teilnehmer!$B$4:$K$200,8,0))</f>
        <v>-</v>
      </c>
      <c r="K17" s="192" t="str">
        <f>IF(ISBLANK($C17),"",VLOOKUP($C17,Teilnehmer!$B$4:$K$200,9,0))</f>
        <v>HWRT Wohlmuthausen</v>
      </c>
      <c r="L17" s="206" t="str">
        <f>IF(ISBLANK($C17),"",VLOOKUP($C17,Teilnehmer!$B$4:$K$200,10,0))</f>
        <v>BMW E30 - 318 IS</v>
      </c>
      <c r="M17" s="207">
        <f>IF(ISBLANK($C17),"",VLOOKUP($C17,'Ausgabe Zeiten'!M:AV,4,0))</f>
        <v>3.6307870370370088E-3</v>
      </c>
      <c r="N17" s="207">
        <f>IF(ISBLANK($C17),"",VLOOKUP($C17,'Ausgabe Zeiten'!M:AV,9,0))</f>
        <v>4.451388888888852E-3</v>
      </c>
      <c r="O17" s="228">
        <f>IF(ISBLANK($C17),"",VLOOKUP($C17,'Ausgabe Zeiten'!M:AV,14,0))</f>
        <v>3.611342592592548E-3</v>
      </c>
      <c r="P17" s="207" t="str">
        <f>IF(ISBLANK($C17),"",VLOOKUP($C17,'Ausgabe Zeiten'!M:AV,19,0))</f>
        <v>ADW</v>
      </c>
      <c r="Q17" s="207" t="str">
        <f>IF(ISBLANK($C17),"",VLOOKUP($C17,'Ausgabe Zeiten'!M:AV,24,0))</f>
        <v>ADW</v>
      </c>
      <c r="R17" s="207">
        <f>IF(ISBLANK($C17),"",VLOOKUP($C17,'Ausgabe Zeiten'!M:AV,29,0))</f>
        <v>0</v>
      </c>
      <c r="S17" s="207">
        <f>IF(ISBLANK($C17),"",VLOOKUP($C17,'Ausgabe Zeiten'!M:AV,35,0))</f>
        <v>0</v>
      </c>
      <c r="T17" s="207" t="str">
        <f>IF(ISBLANK($C17),"",VLOOKUP($C17,'Ausgabe Zeiten'!M:AV,36,0))</f>
        <v>ADW</v>
      </c>
      <c r="U17" s="208" t="e">
        <f t="shared" si="0"/>
        <v>#VALUE!</v>
      </c>
      <c r="V17" s="198" t="str">
        <f t="shared" si="2"/>
        <v>Sortierung A bis Z</v>
      </c>
      <c r="W17" s="208"/>
    </row>
    <row r="18" spans="2:23" s="197" customFormat="1" ht="27.75" customHeight="1">
      <c r="B18" s="234">
        <f t="shared" si="1"/>
        <v>12</v>
      </c>
      <c r="C18" s="233">
        <v>21</v>
      </c>
      <c r="D18" s="235">
        <f>IF(ISBLANK($C18),"",VLOOKUP($C18,Teilnehmer!$B$4:$K$200,2,0))</f>
        <v>2</v>
      </c>
      <c r="E18" s="235">
        <f>IF(ISBLANK($C18),"",VLOOKUP($C18,Teilnehmer!$B$4:$K$200,3,0))</f>
        <v>9</v>
      </c>
      <c r="F18" s="181" t="str">
        <f>IF(ISBLANK($C18),"",VLOOKUP($C18,Teilnehmer!$B$4:$K$200,4,0))</f>
        <v>Bader Steffen</v>
      </c>
      <c r="G18" s="206">
        <f>IF(ISBLANK($C18),"",VLOOKUP($C18,Teilnehmer!$B$4:$K$200,5,0))</f>
        <v>16280</v>
      </c>
      <c r="H18" s="192" t="str">
        <f>IF(ISBLANK($C18),"",VLOOKUP($C18,Teilnehmer!$B$4:$K$200,6,0))</f>
        <v>-</v>
      </c>
      <c r="I18" s="181" t="str">
        <f>IF(ISBLANK($C18),"",VLOOKUP($C18,Teilnehmer!$B$4:$K$200,7,0))</f>
        <v>Laib Dieter</v>
      </c>
      <c r="J18" s="206">
        <f>IF(ISBLANK($C18),"",VLOOKUP($C18,Teilnehmer!$B$4:$K$200,8,0))</f>
        <v>16284</v>
      </c>
      <c r="K18" s="192" t="str">
        <f>IF(ISBLANK($C18),"",VLOOKUP($C18,Teilnehmer!$B$4:$K$200,9,0))</f>
        <v>-</v>
      </c>
      <c r="L18" s="206" t="str">
        <f>IF(ISBLANK($C18),"",VLOOKUP($C18,Teilnehmer!$B$4:$K$200,10,0))</f>
        <v>Opel Kadett C</v>
      </c>
      <c r="M18" s="207">
        <f>IF(ISBLANK($C18),"",VLOOKUP($C18,'Ausgabe Zeiten'!M:AV,4,0))</f>
        <v>3.6368055555555667E-3</v>
      </c>
      <c r="N18" s="207">
        <f>IF(ISBLANK($C18),"",VLOOKUP($C18,'Ausgabe Zeiten'!M:AV,9,0))</f>
        <v>4.4479166666665515E-3</v>
      </c>
      <c r="O18" s="228">
        <f>IF(ISBLANK($C18),"",VLOOKUP($C18,'Ausgabe Zeiten'!M:AV,14,0))</f>
        <v>3.6105324074073852E-3</v>
      </c>
      <c r="P18" s="207">
        <f>IF(ISBLANK($C18),"",VLOOKUP($C18,'Ausgabe Zeiten'!M:AV,19,0))</f>
        <v>4.2440972222221873E-3</v>
      </c>
      <c r="Q18" s="207">
        <f>IF(ISBLANK($C18),"",VLOOKUP($C18,'Ausgabe Zeiten'!M:AV,24,0))</f>
        <v>3.6539351851850865E-3</v>
      </c>
      <c r="R18" s="207">
        <f>IF(ISBLANK($C18),"",VLOOKUP($C18,'Ausgabe Zeiten'!M:AV,29,0))</f>
        <v>0</v>
      </c>
      <c r="S18" s="207">
        <f>IF(ISBLANK($C18),"",VLOOKUP($C18,'Ausgabe Zeiten'!M:AV,35,0))</f>
        <v>0</v>
      </c>
      <c r="T18" s="207">
        <f>IF(ISBLANK($C18),"",VLOOKUP($C18,'Ausgabe Zeiten'!M:AV,36,0))</f>
        <v>1.9593287037036777E-2</v>
      </c>
      <c r="U18" s="208" t="str">
        <f t="shared" si="0"/>
        <v>ok</v>
      </c>
      <c r="V18" s="198" t="str">
        <f t="shared" si="2"/>
        <v>ok</v>
      </c>
      <c r="W18" s="208"/>
    </row>
    <row r="19" spans="2:23" s="197" customFormat="1" ht="27.75" customHeight="1">
      <c r="B19" s="234">
        <f t="shared" si="1"/>
        <v>13</v>
      </c>
      <c r="C19" s="233">
        <v>34</v>
      </c>
      <c r="D19" s="235">
        <f>IF(ISBLANK($C19),"",VLOOKUP($C19,Teilnehmer!$B$4:$K$200,2,0))</f>
        <v>2</v>
      </c>
      <c r="E19" s="235">
        <f>IF(ISBLANK($C19),"",VLOOKUP($C19,Teilnehmer!$B$4:$K$200,3,0))</f>
        <v>9</v>
      </c>
      <c r="F19" s="181" t="str">
        <f>IF(ISBLANK($C19),"",VLOOKUP($C19,Teilnehmer!$B$4:$K$200,4,0))</f>
        <v>Kohler Erhard</v>
      </c>
      <c r="G19" s="206" t="str">
        <f>IF(ISBLANK($C19),"",VLOOKUP($C19,Teilnehmer!$B$4:$K$200,5,0))</f>
        <v>-</v>
      </c>
      <c r="H19" s="192" t="str">
        <f>IF(ISBLANK($C19),"",VLOOKUP($C19,Teilnehmer!$B$4:$K$200,6,0))</f>
        <v>RC Pommes</v>
      </c>
      <c r="I19" s="181" t="str">
        <f>IF(ISBLANK($C19),"",VLOOKUP($C19,Teilnehmer!$B$4:$K$200,7,0))</f>
        <v>Kohler Maren</v>
      </c>
      <c r="J19" s="206" t="str">
        <f>IF(ISBLANK($C19),"",VLOOKUP($C19,Teilnehmer!$B$4:$K$200,8,0))</f>
        <v>-</v>
      </c>
      <c r="K19" s="192" t="str">
        <f>IF(ISBLANK($C19),"",VLOOKUP($C19,Teilnehmer!$B$4:$K$200,9,0))</f>
        <v>RC Pommes</v>
      </c>
      <c r="L19" s="206" t="str">
        <f>IF(ISBLANK($C19),"",VLOOKUP($C19,Teilnehmer!$B$4:$K$200,10,0))</f>
        <v>BMW E30 318is</v>
      </c>
      <c r="M19" s="207">
        <f>IF(ISBLANK($C19),"",VLOOKUP($C19,'Ausgabe Zeiten'!M:AV,4,0))</f>
        <v>3.6577546296295838E-3</v>
      </c>
      <c r="N19" s="207">
        <f>IF(ISBLANK($C19),"",VLOOKUP($C19,'Ausgabe Zeiten'!M:AV,9,0))</f>
        <v>4.2973379629629438E-3</v>
      </c>
      <c r="O19" s="228">
        <f>IF(ISBLANK($C19),"",VLOOKUP($C19,'Ausgabe Zeiten'!M:AV,14,0))</f>
        <v>3.6133101851852922E-3</v>
      </c>
      <c r="P19" s="207">
        <f>IF(ISBLANK($C19),"",VLOOKUP($C19,'Ausgabe Zeiten'!M:AV,19,0))</f>
        <v>4.2137731481480811E-3</v>
      </c>
      <c r="Q19" s="207">
        <f>IF(ISBLANK($C19),"",VLOOKUP($C19,'Ausgabe Zeiten'!M:AV,24,0))</f>
        <v>3.6393518518518242E-3</v>
      </c>
      <c r="R19" s="207">
        <f>IF(ISBLANK($C19),"",VLOOKUP($C19,'Ausgabe Zeiten'!M:AV,29,0))</f>
        <v>0</v>
      </c>
      <c r="S19" s="207">
        <f>IF(ISBLANK($C19),"",VLOOKUP($C19,'Ausgabe Zeiten'!M:AV,35,0))</f>
        <v>6.9444444444444447E-4</v>
      </c>
      <c r="T19" s="207">
        <f>IF(ISBLANK($C19),"",VLOOKUP($C19,'Ausgabe Zeiten'!M:AV,36,0))</f>
        <v>2.0115972222222171E-2</v>
      </c>
      <c r="U19" s="208" t="str">
        <f t="shared" si="0"/>
        <v>ok</v>
      </c>
      <c r="V19" s="198" t="str">
        <f t="shared" si="2"/>
        <v>Sortierung A bis Z</v>
      </c>
      <c r="W19" s="208"/>
    </row>
    <row r="20" spans="2:23" s="197" customFormat="1" ht="27.75" customHeight="1">
      <c r="B20" s="234">
        <f t="shared" si="1"/>
        <v>14</v>
      </c>
      <c r="C20" s="233">
        <v>33</v>
      </c>
      <c r="D20" s="235">
        <f>IF(ISBLANK($C20),"",VLOOKUP($C20,Teilnehmer!$B$4:$K$200,2,0))</f>
        <v>2</v>
      </c>
      <c r="E20" s="235">
        <f>IF(ISBLANK($C20),"",VLOOKUP($C20,Teilnehmer!$B$4:$K$200,3,0))</f>
        <v>9</v>
      </c>
      <c r="F20" s="181" t="str">
        <f>IF(ISBLANK($C20),"",VLOOKUP($C20,Teilnehmer!$B$4:$K$200,4,0))</f>
        <v>Kohler Sven</v>
      </c>
      <c r="G20" s="206" t="str">
        <f>IF(ISBLANK($C20),"",VLOOKUP($C20,Teilnehmer!$B$4:$K$200,5,0))</f>
        <v>-</v>
      </c>
      <c r="H20" s="192" t="str">
        <f>IF(ISBLANK($C20),"",VLOOKUP($C20,Teilnehmer!$B$4:$K$200,6,0))</f>
        <v>RC Pommes</v>
      </c>
      <c r="I20" s="181" t="str">
        <f>IF(ISBLANK($C20),"",VLOOKUP($C20,Teilnehmer!$B$4:$K$200,7,0))</f>
        <v>Hinrichs Anna</v>
      </c>
      <c r="J20" s="206">
        <f>IF(ISBLANK($C20),"",VLOOKUP($C20,Teilnehmer!$B$4:$K$200,8,0))</f>
        <v>15287</v>
      </c>
      <c r="K20" s="192" t="str">
        <f>IF(ISBLANK($C20),"",VLOOKUP($C20,Teilnehmer!$B$4:$K$200,9,0))</f>
        <v>RG Ga(a)s</v>
      </c>
      <c r="L20" s="206" t="str">
        <f>IF(ISBLANK($C20),"",VLOOKUP($C20,Teilnehmer!$B$4:$K$200,10,0))</f>
        <v>BMW E30 320is</v>
      </c>
      <c r="M20" s="207">
        <f>IF(ISBLANK($C20),"",VLOOKUP($C20,'Ausgabe Zeiten'!M:AV,4,0))</f>
        <v>3.6623842592592437E-3</v>
      </c>
      <c r="N20" s="207">
        <f>IF(ISBLANK($C20),"",VLOOKUP($C20,'Ausgabe Zeiten'!M:AV,9,0))</f>
        <v>4.2193287037037841E-3</v>
      </c>
      <c r="O20" s="228">
        <f>IF(ISBLANK($C20),"",VLOOKUP($C20,'Ausgabe Zeiten'!M:AV,14,0))</f>
        <v>3.6251157407406476E-3</v>
      </c>
      <c r="P20" s="207">
        <f>IF(ISBLANK($C20),"",VLOOKUP($C20,'Ausgabe Zeiten'!M:AV,19,0))</f>
        <v>4.1174768518519311E-3</v>
      </c>
      <c r="Q20" s="207">
        <f>IF(ISBLANK($C20),"",VLOOKUP($C20,'Ausgabe Zeiten'!M:AV,24,0))</f>
        <v>3.583449074074152E-3</v>
      </c>
      <c r="R20" s="207">
        <f>IF(ISBLANK($C20),"",VLOOKUP($C20,'Ausgabe Zeiten'!M:AV,29,0))</f>
        <v>0</v>
      </c>
      <c r="S20" s="207">
        <f>IF(ISBLANK($C20),"",VLOOKUP($C20,'Ausgabe Zeiten'!M:AV,35,0))</f>
        <v>3.4722222222222224E-4</v>
      </c>
      <c r="T20" s="207">
        <f>IF(ISBLANK($C20),"",VLOOKUP($C20,'Ausgabe Zeiten'!M:AV,36,0))</f>
        <v>1.955497685185198E-2</v>
      </c>
      <c r="U20" s="208" t="str">
        <f t="shared" si="0"/>
        <v>ok</v>
      </c>
      <c r="V20" s="198" t="str">
        <f t="shared" si="2"/>
        <v>ok</v>
      </c>
      <c r="W20" s="208"/>
    </row>
    <row r="21" spans="2:23" s="197" customFormat="1" ht="27.75" customHeight="1">
      <c r="B21" s="234">
        <f t="shared" si="1"/>
        <v>15</v>
      </c>
      <c r="C21" s="233">
        <v>18</v>
      </c>
      <c r="D21" s="235">
        <f>IF(ISBLANK($C21),"",VLOOKUP($C21,Teilnehmer!$B$4:$K$200,2,0))</f>
        <v>2</v>
      </c>
      <c r="E21" s="235">
        <f>IF(ISBLANK($C21),"",VLOOKUP($C21,Teilnehmer!$B$4:$K$200,3,0))</f>
        <v>10</v>
      </c>
      <c r="F21" s="181" t="str">
        <f>IF(ISBLANK($C21),"",VLOOKUP($C21,Teilnehmer!$B$4:$K$200,4,0))</f>
        <v>Haselbeck Maximilian</v>
      </c>
      <c r="G21" s="206" t="str">
        <f>IF(ISBLANK($C21),"",VLOOKUP($C21,Teilnehmer!$B$4:$K$200,5,0))</f>
        <v>-</v>
      </c>
      <c r="H21" s="192" t="str">
        <f>IF(ISBLANK($C21),"",VLOOKUP($C21,Teilnehmer!$B$4:$K$200,6,0))</f>
        <v>-</v>
      </c>
      <c r="I21" s="181" t="str">
        <f>IF(ISBLANK($C21),"",VLOOKUP($C21,Teilnehmer!$B$4:$K$200,7,0))</f>
        <v>Haselbeck Alexander</v>
      </c>
      <c r="J21" s="206" t="str">
        <f>IF(ISBLANK($C21),"",VLOOKUP($C21,Teilnehmer!$B$4:$K$200,8,0))</f>
        <v>-</v>
      </c>
      <c r="K21" s="192" t="str">
        <f>IF(ISBLANK($C21),"",VLOOKUP($C21,Teilnehmer!$B$4:$K$200,9,0))</f>
        <v>-</v>
      </c>
      <c r="L21" s="206" t="str">
        <f>IF(ISBLANK($C21),"",VLOOKUP($C21,Teilnehmer!$B$4:$K$200,10,0))</f>
        <v>BMW 328i</v>
      </c>
      <c r="M21" s="207">
        <f>IF(ISBLANK($C21),"",VLOOKUP($C21,'Ausgabe Zeiten'!M:AV,4,0))</f>
        <v>3.6748842592592701E-3</v>
      </c>
      <c r="N21" s="207">
        <f>IF(ISBLANK($C21),"",VLOOKUP($C21,'Ausgabe Zeiten'!M:AV,9,0))</f>
        <v>4.3908564814814088E-3</v>
      </c>
      <c r="O21" s="228">
        <f>IF(ISBLANK($C21),"",VLOOKUP($C21,'Ausgabe Zeiten'!M:AV,14,0))</f>
        <v>1.0416666666666666E-2</v>
      </c>
      <c r="P21" s="207" t="str">
        <f>IF(ISBLANK($C21),"",VLOOKUP($C21,'Ausgabe Zeiten'!M:AV,19,0))</f>
        <v>ADW</v>
      </c>
      <c r="Q21" s="207" t="str">
        <f>IF(ISBLANK($C21),"",VLOOKUP($C21,'Ausgabe Zeiten'!M:AV,24,0))</f>
        <v>ADW</v>
      </c>
      <c r="R21" s="207">
        <f>IF(ISBLANK($C21),"",VLOOKUP($C21,'Ausgabe Zeiten'!M:AV,29,0))</f>
        <v>0</v>
      </c>
      <c r="S21" s="207">
        <f>IF(ISBLANK($C21),"",VLOOKUP($C21,'Ausgabe Zeiten'!M:AV,35,0))</f>
        <v>0</v>
      </c>
      <c r="T21" s="207" t="str">
        <f>IF(ISBLANK($C21),"",VLOOKUP($C21,'Ausgabe Zeiten'!M:AV,36,0))</f>
        <v>ADW</v>
      </c>
      <c r="U21" s="208" t="e">
        <f t="shared" si="0"/>
        <v>#VALUE!</v>
      </c>
      <c r="V21" s="198" t="str">
        <f t="shared" si="2"/>
        <v>Sortierung A bis Z</v>
      </c>
      <c r="W21" s="208"/>
    </row>
    <row r="22" spans="2:23" s="197" customFormat="1" ht="27.75" customHeight="1">
      <c r="B22" s="234">
        <f t="shared" si="1"/>
        <v>16</v>
      </c>
      <c r="C22" s="233">
        <v>25</v>
      </c>
      <c r="D22" s="235">
        <f>IF(ISBLANK($C22),"",VLOOKUP($C22,Teilnehmer!$B$4:$K$200,2,0))</f>
        <v>2</v>
      </c>
      <c r="E22" s="235">
        <f>IF(ISBLANK($C22),"",VLOOKUP($C22,Teilnehmer!$B$4:$K$200,3,0))</f>
        <v>9</v>
      </c>
      <c r="F22" s="181" t="str">
        <f>IF(ISBLANK($C22),"",VLOOKUP($C22,Teilnehmer!$B$4:$K$200,4,0))</f>
        <v>Wünsch Oliver</v>
      </c>
      <c r="G22" s="206">
        <f>IF(ISBLANK($C22),"",VLOOKUP($C22,Teilnehmer!$B$4:$K$200,5,0))</f>
        <v>15506</v>
      </c>
      <c r="H22" s="192" t="str">
        <f>IF(ISBLANK($C22),"",VLOOKUP($C22,Teilnehmer!$B$4:$K$200,6,0))</f>
        <v>Scuderia Offenbach / Orange Motorsport</v>
      </c>
      <c r="I22" s="181" t="str">
        <f>IF(ISBLANK($C22),"",VLOOKUP($C22,Teilnehmer!$B$4:$K$200,7,0))</f>
        <v>Manger Moritz</v>
      </c>
      <c r="J22" s="206" t="str">
        <f>IF(ISBLANK($C22),"",VLOOKUP($C22,Teilnehmer!$B$4:$K$200,8,0))</f>
        <v>-</v>
      </c>
      <c r="K22" s="192" t="str">
        <f>IF(ISBLANK($C22),"",VLOOKUP($C22,Teilnehmer!$B$4:$K$200,9,0))</f>
        <v>Scuderia Offenbach</v>
      </c>
      <c r="L22" s="206" t="str">
        <f>IF(ISBLANK($C22),"",VLOOKUP($C22,Teilnehmer!$B$4:$K$200,10,0))</f>
        <v>VW Golf II GTI 16V</v>
      </c>
      <c r="M22" s="207">
        <f>IF(ISBLANK($C22),"",VLOOKUP($C22,'Ausgabe Zeiten'!M:AV,4,0))</f>
        <v>3.7134259259259395E-3</v>
      </c>
      <c r="N22" s="207">
        <f>IF(ISBLANK($C22),"",VLOOKUP($C22,'Ausgabe Zeiten'!M:AV,9,0))</f>
        <v>4.3178240740742169E-3</v>
      </c>
      <c r="O22" s="228">
        <f>IF(ISBLANK($C22),"",VLOOKUP($C22,'Ausgabe Zeiten'!M:AV,14,0))</f>
        <v>3.6600694444445248E-3</v>
      </c>
      <c r="P22" s="207">
        <f>IF(ISBLANK($C22),"",VLOOKUP($C22,'Ausgabe Zeiten'!M:AV,19,0))</f>
        <v>4.2069444444444715E-3</v>
      </c>
      <c r="Q22" s="207">
        <f>IF(ISBLANK($C22),"",VLOOKUP($C22,'Ausgabe Zeiten'!M:AV,24,0))</f>
        <v>3.6913194444444519E-3</v>
      </c>
      <c r="R22" s="207">
        <f>IF(ISBLANK($C22),"",VLOOKUP($C22,'Ausgabe Zeiten'!M:AV,29,0))</f>
        <v>0</v>
      </c>
      <c r="S22" s="207">
        <f>IF(ISBLANK($C22),"",VLOOKUP($C22,'Ausgabe Zeiten'!M:AV,35,0))</f>
        <v>3.4722222222222224E-4</v>
      </c>
      <c r="T22" s="207">
        <f>IF(ISBLANK($C22),"",VLOOKUP($C22,'Ausgabe Zeiten'!M:AV,36,0))</f>
        <v>1.9936805555555825E-2</v>
      </c>
      <c r="U22" s="208" t="str">
        <f t="shared" si="0"/>
        <v>ok</v>
      </c>
      <c r="V22" s="198" t="str">
        <f t="shared" si="2"/>
        <v>Sortierung A bis Z</v>
      </c>
      <c r="W22" s="208"/>
    </row>
    <row r="23" spans="2:23" s="197" customFormat="1" ht="27.75" customHeight="1">
      <c r="B23" s="234">
        <f t="shared" si="1"/>
        <v>17</v>
      </c>
      <c r="C23" s="233">
        <v>35</v>
      </c>
      <c r="D23" s="235">
        <f>IF(ISBLANK($C23),"",VLOOKUP($C23,Teilnehmer!$B$4:$K$200,2,0))</f>
        <v>2</v>
      </c>
      <c r="E23" s="235">
        <f>IF(ISBLANK($C23),"",VLOOKUP($C23,Teilnehmer!$B$4:$K$200,3,0))</f>
        <v>9</v>
      </c>
      <c r="F23" s="181" t="str">
        <f>IF(ISBLANK($C23),"",VLOOKUP($C23,Teilnehmer!$B$4:$K$200,4,0))</f>
        <v>Kübler Oliver</v>
      </c>
      <c r="G23" s="206" t="str">
        <f>IF(ISBLANK($C23),"",VLOOKUP($C23,Teilnehmer!$B$4:$K$200,5,0))</f>
        <v>-</v>
      </c>
      <c r="H23" s="192" t="str">
        <f>IF(ISBLANK($C23),"",VLOOKUP($C23,Teilnehmer!$B$4:$K$200,6,0))</f>
        <v>HWRT Wohlmuthausen</v>
      </c>
      <c r="I23" s="181" t="str">
        <f>IF(ISBLANK($C23),"",VLOOKUP($C23,Teilnehmer!$B$4:$K$200,7,0))</f>
        <v>Hochhäuser Michael</v>
      </c>
      <c r="J23" s="206" t="str">
        <f>IF(ISBLANK($C23),"",VLOOKUP($C23,Teilnehmer!$B$4:$K$200,8,0))</f>
        <v>-</v>
      </c>
      <c r="K23" s="192" t="str">
        <f>IF(ISBLANK($C23),"",VLOOKUP($C23,Teilnehmer!$B$4:$K$200,9,0))</f>
        <v>HWRT Wohlmuthausen</v>
      </c>
      <c r="L23" s="206" t="str">
        <f>IF(ISBLANK($C23),"",VLOOKUP($C23,Teilnehmer!$B$4:$K$200,10,0))</f>
        <v>BMW E30 318is</v>
      </c>
      <c r="M23" s="207">
        <f>IF(ISBLANK($C23),"",VLOOKUP($C23,'Ausgabe Zeiten'!M:AV,4,0))</f>
        <v>3.7162037037037354E-3</v>
      </c>
      <c r="N23" s="207">
        <f>IF(ISBLANK($C23),"",VLOOKUP($C23,'Ausgabe Zeiten'!M:AV,9,0))</f>
        <v>4.2950231481482248E-3</v>
      </c>
      <c r="O23" s="228">
        <f>IF(ISBLANK($C23),"",VLOOKUP($C23,'Ausgabe Zeiten'!M:AV,14,0))</f>
        <v>3.6231481481481254E-3</v>
      </c>
      <c r="P23" s="207">
        <f>IF(ISBLANK($C23),"",VLOOKUP($C23,'Ausgabe Zeiten'!M:AV,19,0))</f>
        <v>4.2078703703704035E-3</v>
      </c>
      <c r="Q23" s="207">
        <f>IF(ISBLANK($C23),"",VLOOKUP($C23,'Ausgabe Zeiten'!M:AV,24,0))</f>
        <v>3.6968750000000439E-3</v>
      </c>
      <c r="R23" s="207">
        <f>IF(ISBLANK($C23),"",VLOOKUP($C23,'Ausgabe Zeiten'!M:AV,29,0))</f>
        <v>0</v>
      </c>
      <c r="S23" s="207">
        <f>IF(ISBLANK($C23),"",VLOOKUP($C23,'Ausgabe Zeiten'!M:AV,35,0))</f>
        <v>0</v>
      </c>
      <c r="T23" s="207">
        <f>IF(ISBLANK($C23),"",VLOOKUP($C23,'Ausgabe Zeiten'!M:AV,36,0))</f>
        <v>1.9539120370370533E-2</v>
      </c>
      <c r="U23" s="208" t="str">
        <f t="shared" si="0"/>
        <v>ok</v>
      </c>
      <c r="V23" s="198" t="str">
        <f t="shared" si="2"/>
        <v>ok</v>
      </c>
      <c r="W23" s="208"/>
    </row>
    <row r="24" spans="2:23" s="197" customFormat="1" ht="27.75" customHeight="1">
      <c r="B24" s="234">
        <f t="shared" si="1"/>
        <v>18</v>
      </c>
      <c r="C24" s="233">
        <v>29</v>
      </c>
      <c r="D24" s="235">
        <f>IF(ISBLANK($C24),"",VLOOKUP($C24,Teilnehmer!$B$4:$K$200,2,0))</f>
        <v>2</v>
      </c>
      <c r="E24" s="235">
        <f>IF(ISBLANK($C24),"",VLOOKUP($C24,Teilnehmer!$B$4:$K$200,3,0))</f>
        <v>9</v>
      </c>
      <c r="F24" s="181" t="str">
        <f>IF(ISBLANK($C24),"",VLOOKUP($C24,Teilnehmer!$B$4:$K$200,4,0))</f>
        <v>Kraus Florian</v>
      </c>
      <c r="G24" s="206" t="str">
        <f>IF(ISBLANK($C24),"",VLOOKUP($C24,Teilnehmer!$B$4:$K$200,5,0))</f>
        <v>-</v>
      </c>
      <c r="H24" s="192" t="str">
        <f>IF(ISBLANK($C24),"",VLOOKUP($C24,Teilnehmer!$B$4:$K$200,6,0))</f>
        <v>-</v>
      </c>
      <c r="I24" s="181" t="str">
        <f>IF(ISBLANK($C24),"",VLOOKUP($C24,Teilnehmer!$B$4:$K$200,7,0))</f>
        <v>Thiel Sabrina</v>
      </c>
      <c r="J24" s="206">
        <f>IF(ISBLANK($C24),"",VLOOKUP($C24,Teilnehmer!$B$4:$K$200,8,0))</f>
        <v>14904</v>
      </c>
      <c r="K24" s="192" t="str">
        <f>IF(ISBLANK($C24),"",VLOOKUP($C24,Teilnehmer!$B$4:$K$200,9,0))</f>
        <v>MSC Jura</v>
      </c>
      <c r="L24" s="206" t="str">
        <f>IF(ISBLANK($C24),"",VLOOKUP($C24,Teilnehmer!$B$4:$K$200,10,0))</f>
        <v>VW Golf 3</v>
      </c>
      <c r="M24" s="207">
        <f>IF(ISBLANK($C24),"",VLOOKUP($C24,'Ausgabe Zeiten'!M:AV,4,0))</f>
        <v>3.7263888888888763E-3</v>
      </c>
      <c r="N24" s="207" t="str">
        <f>IF(ISBLANK($C24),"",VLOOKUP($C24,'Ausgabe Zeiten'!M:AV,9,0))</f>
        <v>ADW</v>
      </c>
      <c r="O24" s="228" t="str">
        <f>IF(ISBLANK($C24),"",VLOOKUP($C24,'Ausgabe Zeiten'!M:AV,14,0))</f>
        <v>ADW</v>
      </c>
      <c r="P24" s="207" t="str">
        <f>IF(ISBLANK($C24),"",VLOOKUP($C24,'Ausgabe Zeiten'!M:AV,19,0))</f>
        <v>ADW</v>
      </c>
      <c r="Q24" s="207" t="str">
        <f>IF(ISBLANK($C24),"",VLOOKUP($C24,'Ausgabe Zeiten'!M:AV,24,0))</f>
        <v>ADW</v>
      </c>
      <c r="R24" s="207">
        <f>IF(ISBLANK($C24),"",VLOOKUP($C24,'Ausgabe Zeiten'!M:AV,29,0))</f>
        <v>0</v>
      </c>
      <c r="S24" s="207">
        <f>IF(ISBLANK($C24),"",VLOOKUP($C24,'Ausgabe Zeiten'!M:AV,35,0))</f>
        <v>3.4722222222222224E-4</v>
      </c>
      <c r="T24" s="207" t="str">
        <f>IF(ISBLANK($C24),"",VLOOKUP($C24,'Ausgabe Zeiten'!M:AV,36,0))</f>
        <v>ADW</v>
      </c>
      <c r="U24" s="208" t="e">
        <f t="shared" si="0"/>
        <v>#VALUE!</v>
      </c>
      <c r="V24" s="198" t="str">
        <f t="shared" si="2"/>
        <v>Sortierung A bis Z</v>
      </c>
      <c r="W24" s="208"/>
    </row>
    <row r="25" spans="2:23" s="197" customFormat="1" ht="27.75" customHeight="1">
      <c r="B25" s="234">
        <f t="shared" si="1"/>
        <v>19</v>
      </c>
      <c r="C25" s="233">
        <v>15</v>
      </c>
      <c r="D25" s="235">
        <f>IF(ISBLANK($C25),"",VLOOKUP($C25,Teilnehmer!$B$4:$K$200,2,0))</f>
        <v>2</v>
      </c>
      <c r="E25" s="235">
        <f>IF(ISBLANK($C25),"",VLOOKUP($C25,Teilnehmer!$B$4:$K$200,3,0))</f>
        <v>10</v>
      </c>
      <c r="F25" s="181" t="str">
        <f>IF(ISBLANK($C25),"",VLOOKUP($C25,Teilnehmer!$B$4:$K$200,4,0))</f>
        <v>Oest Marc</v>
      </c>
      <c r="G25" s="206" t="str">
        <f>IF(ISBLANK($C25),"",VLOOKUP($C25,Teilnehmer!$B$4:$K$200,5,0))</f>
        <v>-</v>
      </c>
      <c r="H25" s="192" t="str">
        <f>IF(ISBLANK($C25),"",VLOOKUP($C25,Teilnehmer!$B$4:$K$200,6,0))</f>
        <v>MSC Ramberg</v>
      </c>
      <c r="I25" s="181" t="str">
        <f>IF(ISBLANK($C25),"",VLOOKUP($C25,Teilnehmer!$B$4:$K$200,7,0))</f>
        <v>Oest Thomas</v>
      </c>
      <c r="J25" s="206" t="str">
        <f>IF(ISBLANK($C25),"",VLOOKUP($C25,Teilnehmer!$B$4:$K$200,8,0))</f>
        <v>-</v>
      </c>
      <c r="K25" s="192" t="str">
        <f>IF(ISBLANK($C25),"",VLOOKUP($C25,Teilnehmer!$B$4:$K$200,9,0))</f>
        <v>MSC Ramberg</v>
      </c>
      <c r="L25" s="206" t="str">
        <f>IF(ISBLANK($C25),"",VLOOKUP($C25,Teilnehmer!$B$4:$K$200,10,0))</f>
        <v>BMW 540i</v>
      </c>
      <c r="M25" s="207">
        <f>IF(ISBLANK($C25),"",VLOOKUP($C25,'Ausgabe Zeiten'!M:AV,4,0))</f>
        <v>3.7410879629630189E-3</v>
      </c>
      <c r="N25" s="207">
        <f>IF(ISBLANK($C25),"",VLOOKUP($C25,'Ausgabe Zeiten'!M:AV,9,0))</f>
        <v>5.8980324074073831E-3</v>
      </c>
      <c r="O25" s="228">
        <f>IF(ISBLANK($C25),"",VLOOKUP($C25,'Ausgabe Zeiten'!M:AV,14,0))</f>
        <v>4.0291666666665282E-3</v>
      </c>
      <c r="P25" s="207">
        <f>IF(ISBLANK($C25),"",VLOOKUP($C25,'Ausgabe Zeiten'!M:AV,19,0))</f>
        <v>4.3354166666665916E-3</v>
      </c>
      <c r="Q25" s="207">
        <f>IF(ISBLANK($C25),"",VLOOKUP($C25,'Ausgabe Zeiten'!M:AV,24,0))</f>
        <v>3.8998842592592453E-3</v>
      </c>
      <c r="R25" s="207">
        <f>IF(ISBLANK($C25),"",VLOOKUP($C25,'Ausgabe Zeiten'!M:AV,29,0))</f>
        <v>0</v>
      </c>
      <c r="S25" s="207">
        <f>IF(ISBLANK($C25),"",VLOOKUP($C25,'Ausgabe Zeiten'!M:AV,35,0))</f>
        <v>0</v>
      </c>
      <c r="T25" s="207">
        <f>IF(ISBLANK($C25),"",VLOOKUP($C25,'Ausgabe Zeiten'!M:AV,36,0))</f>
        <v>2.1903587962962767E-2</v>
      </c>
      <c r="U25" s="208" t="str">
        <f t="shared" si="0"/>
        <v>ok</v>
      </c>
      <c r="V25" s="198" t="str">
        <f t="shared" si="2"/>
        <v>ok</v>
      </c>
      <c r="W25" s="208"/>
    </row>
    <row r="26" spans="2:23" s="197" customFormat="1" ht="27.75" customHeight="1">
      <c r="B26" s="234">
        <f t="shared" si="1"/>
        <v>20</v>
      </c>
      <c r="C26" s="233">
        <v>22</v>
      </c>
      <c r="D26" s="235">
        <f>IF(ISBLANK($C26),"",VLOOKUP($C26,Teilnehmer!$B$4:$K$200,2,0))</f>
        <v>2</v>
      </c>
      <c r="E26" s="235">
        <f>IF(ISBLANK($C26),"",VLOOKUP($C26,Teilnehmer!$B$4:$K$200,3,0))</f>
        <v>9</v>
      </c>
      <c r="F26" s="181" t="str">
        <f>IF(ISBLANK($C26),"",VLOOKUP($C26,Teilnehmer!$B$4:$K$200,4,0))</f>
        <v>Schindler Thomas</v>
      </c>
      <c r="G26" s="206">
        <f>IF(ISBLANK($C26),"",VLOOKUP($C26,Teilnehmer!$B$4:$K$200,5,0))</f>
        <v>16713</v>
      </c>
      <c r="H26" s="192" t="str">
        <f>IF(ISBLANK($C26),"",VLOOKUP($C26,Teilnehmer!$B$4:$K$200,6,0))</f>
        <v>AC Gunzenhausen</v>
      </c>
      <c r="I26" s="181" t="str">
        <f>IF(ISBLANK($C26),"",VLOOKUP($C26,Teilnehmer!$B$4:$K$200,7,0))</f>
        <v>Bader Alina</v>
      </c>
      <c r="J26" s="206">
        <f>IF(ISBLANK($C26),"",VLOOKUP($C26,Teilnehmer!$B$4:$K$200,8,0))</f>
        <v>16723</v>
      </c>
      <c r="K26" s="192" t="str">
        <f>IF(ISBLANK($C26),"",VLOOKUP($C26,Teilnehmer!$B$4:$K$200,9,0))</f>
        <v>MSC Untergröningen</v>
      </c>
      <c r="L26" s="206" t="str">
        <f>IF(ISBLANK($C26),"",VLOOKUP($C26,Teilnehmer!$B$4:$K$200,10,0))</f>
        <v>Honda Civic</v>
      </c>
      <c r="M26" s="207">
        <f>IF(ISBLANK($C26),"",VLOOKUP($C26,'Ausgabe Zeiten'!M:AV,4,0))</f>
        <v>3.7876157407407685E-3</v>
      </c>
      <c r="N26" s="207" t="str">
        <f>IF(ISBLANK($C26),"",VLOOKUP($C26,'Ausgabe Zeiten'!M:AV,9,0))</f>
        <v>ADW</v>
      </c>
      <c r="O26" s="228" t="str">
        <f>IF(ISBLANK($C26),"",VLOOKUP($C26,'Ausgabe Zeiten'!M:AV,14,0))</f>
        <v>ADW</v>
      </c>
      <c r="P26" s="207" t="str">
        <f>IF(ISBLANK($C26),"",VLOOKUP($C26,'Ausgabe Zeiten'!M:AV,19,0))</f>
        <v>ADW</v>
      </c>
      <c r="Q26" s="207" t="str">
        <f>IF(ISBLANK($C26),"",VLOOKUP($C26,'Ausgabe Zeiten'!M:AV,24,0))</f>
        <v>ADW</v>
      </c>
      <c r="R26" s="207">
        <f>IF(ISBLANK($C26),"",VLOOKUP($C26,'Ausgabe Zeiten'!M:AV,29,0))</f>
        <v>0</v>
      </c>
      <c r="S26" s="207">
        <f>IF(ISBLANK($C26),"",VLOOKUP($C26,'Ausgabe Zeiten'!M:AV,35,0))</f>
        <v>0</v>
      </c>
      <c r="T26" s="207" t="str">
        <f>IF(ISBLANK($C26),"",VLOOKUP($C26,'Ausgabe Zeiten'!M:AV,36,0))</f>
        <v>ADW</v>
      </c>
      <c r="U26" s="208" t="e">
        <f t="shared" si="0"/>
        <v>#VALUE!</v>
      </c>
      <c r="V26" s="198" t="str">
        <f t="shared" si="2"/>
        <v>Sortierung A bis Z</v>
      </c>
      <c r="W26" s="208"/>
    </row>
    <row r="27" spans="2:23" s="197" customFormat="1" ht="27.75" customHeight="1">
      <c r="B27" s="234">
        <f t="shared" si="1"/>
        <v>21</v>
      </c>
      <c r="C27" s="233">
        <v>39</v>
      </c>
      <c r="D27" s="235">
        <f>IF(ISBLANK($C27),"",VLOOKUP($C27,Teilnehmer!$B$4:$K$200,2,0))</f>
        <v>2</v>
      </c>
      <c r="E27" s="235">
        <f>IF(ISBLANK($C27),"",VLOOKUP($C27,Teilnehmer!$B$4:$K$200,3,0))</f>
        <v>8</v>
      </c>
      <c r="F27" s="181" t="str">
        <f>IF(ISBLANK($C27),"",VLOOKUP($C27,Teilnehmer!$B$4:$K$200,4,0))</f>
        <v>Bruchhäuser Gil</v>
      </c>
      <c r="G27" s="206">
        <f>IF(ISBLANK($C27),"",VLOOKUP($C27,Teilnehmer!$B$4:$K$200,5,0))</f>
        <v>16444</v>
      </c>
      <c r="H27" s="192" t="str">
        <f>IF(ISBLANK($C27),"",VLOOKUP($C27,Teilnehmer!$B$4:$K$200,6,0))</f>
        <v>RG Ga(a)s</v>
      </c>
      <c r="I27" s="181" t="str">
        <f>IF(ISBLANK($C27),"",VLOOKUP($C27,Teilnehmer!$B$4:$K$200,7,0))</f>
        <v>Kölsch Björn</v>
      </c>
      <c r="J27" s="206">
        <f>IF(ISBLANK($C27),"",VLOOKUP($C27,Teilnehmer!$B$4:$K$200,8,0))</f>
        <v>16445</v>
      </c>
      <c r="K27" s="192" t="str">
        <f>IF(ISBLANK($C27),"",VLOOKUP($C27,Teilnehmer!$B$4:$K$200,9,0))</f>
        <v>-</v>
      </c>
      <c r="L27" s="206" t="str">
        <f>IF(ISBLANK($C27),"",VLOOKUP($C27,Teilnehmer!$B$4:$K$200,10,0))</f>
        <v>Citroën C2 R2 Max</v>
      </c>
      <c r="M27" s="207">
        <f>IF(ISBLANK($C27),"",VLOOKUP($C27,'Ausgabe Zeiten'!M:AV,4,0))</f>
        <v>3.8001157407407948E-3</v>
      </c>
      <c r="N27" s="207">
        <f>IF(ISBLANK($C27),"",VLOOKUP($C27,'Ausgabe Zeiten'!M:AV,9,0))</f>
        <v>4.3645833333333384E-3</v>
      </c>
      <c r="O27" s="228">
        <f>IF(ISBLANK($C27),"",VLOOKUP($C27,'Ausgabe Zeiten'!M:AV,14,0))</f>
        <v>3.7623842592592327E-3</v>
      </c>
      <c r="P27" s="207">
        <f>IF(ISBLANK($C27),"",VLOOKUP($C27,'Ausgabe Zeiten'!M:AV,19,0))</f>
        <v>4.155092592592613E-3</v>
      </c>
      <c r="Q27" s="207">
        <f>IF(ISBLANK($C27),"",VLOOKUP($C27,'Ausgabe Zeiten'!M:AV,24,0))</f>
        <v>3.6809027777777725E-3</v>
      </c>
      <c r="R27" s="207">
        <f>IF(ISBLANK($C27),"",VLOOKUP($C27,'Ausgabe Zeiten'!M:AV,29,0))</f>
        <v>0</v>
      </c>
      <c r="S27" s="207">
        <f>IF(ISBLANK($C27),"",VLOOKUP($C27,'Ausgabe Zeiten'!M:AV,35,0))</f>
        <v>0</v>
      </c>
      <c r="T27" s="207">
        <f>IF(ISBLANK($C27),"",VLOOKUP($C27,'Ausgabe Zeiten'!M:AV,36,0))</f>
        <v>1.9763078703703751E-2</v>
      </c>
      <c r="U27" s="208" t="str">
        <f t="shared" si="0"/>
        <v>ok</v>
      </c>
      <c r="V27" s="198" t="str">
        <f t="shared" si="2"/>
        <v>ok</v>
      </c>
      <c r="W27" s="208"/>
    </row>
    <row r="28" spans="2:23" s="197" customFormat="1" ht="27.75" customHeight="1">
      <c r="B28" s="234">
        <f t="shared" si="1"/>
        <v>22</v>
      </c>
      <c r="C28" s="233">
        <v>54</v>
      </c>
      <c r="D28" s="235">
        <f>IF(ISBLANK($C28),"",VLOOKUP($C28,Teilnehmer!$B$4:$K$200,2,0))</f>
        <v>1</v>
      </c>
      <c r="E28" s="235">
        <f>IF(ISBLANK($C28),"",VLOOKUP($C28,Teilnehmer!$B$4:$K$200,3,0))</f>
        <v>5</v>
      </c>
      <c r="F28" s="181" t="str">
        <f>IF(ISBLANK($C28),"",VLOOKUP($C28,Teilnehmer!$B$4:$K$200,4,0))</f>
        <v>Scheidhammer Alois</v>
      </c>
      <c r="G28" s="206">
        <f>IF(ISBLANK($C28),"",VLOOKUP($C28,Teilnehmer!$B$4:$K$200,5,0))</f>
        <v>15610</v>
      </c>
      <c r="H28" s="192" t="str">
        <f>IF(ISBLANK($C28),"",VLOOKUP($C28,Teilnehmer!$B$4:$K$200,6,0))</f>
        <v>MSC Emmersdorf</v>
      </c>
      <c r="I28" s="181" t="str">
        <f>IF(ISBLANK($C28),"",VLOOKUP($C28,Teilnehmer!$B$4:$K$200,7,0))</f>
        <v>Regner August</v>
      </c>
      <c r="J28" s="206">
        <f>IF(ISBLANK($C28),"",VLOOKUP($C28,Teilnehmer!$B$4:$K$200,8,0))</f>
        <v>15609</v>
      </c>
      <c r="K28" s="192" t="str">
        <f>IF(ISBLANK($C28),"",VLOOKUP($C28,Teilnehmer!$B$4:$K$200,9,0))</f>
        <v>MSC Emmersdorf</v>
      </c>
      <c r="L28" s="206" t="str">
        <f>IF(ISBLANK($C28),"",VLOOKUP($C28,Teilnehmer!$B$4:$K$200,10,0))</f>
        <v>Nissan Z350</v>
      </c>
      <c r="M28" s="207">
        <f>IF(ISBLANK($C28),"",VLOOKUP($C28,'Ausgabe Zeiten'!M:AV,4,0))</f>
        <v>3.803935185185181E-3</v>
      </c>
      <c r="N28" s="207">
        <f>IF(ISBLANK($C28),"",VLOOKUP($C28,'Ausgabe Zeiten'!M:AV,9,0))</f>
        <v>4.2633101851852206E-3</v>
      </c>
      <c r="O28" s="228">
        <f>IF(ISBLANK($C28),"",VLOOKUP($C28,'Ausgabe Zeiten'!M:AV,14,0))</f>
        <v>3.7965277777778361E-3</v>
      </c>
      <c r="P28" s="207">
        <f>IF(ISBLANK($C28),"",VLOOKUP($C28,'Ausgabe Zeiten'!M:AV,19,0))</f>
        <v>4.2297453703703525E-3</v>
      </c>
      <c r="Q28" s="207">
        <f>IF(ISBLANK($C28),"",VLOOKUP($C28,'Ausgabe Zeiten'!M:AV,24,0))</f>
        <v>3.7349537037036917E-3</v>
      </c>
      <c r="R28" s="207">
        <f>IF(ISBLANK($C28),"",VLOOKUP($C28,'Ausgabe Zeiten'!M:AV,29,0))</f>
        <v>0</v>
      </c>
      <c r="S28" s="207">
        <f>IF(ISBLANK($C28),"",VLOOKUP($C28,'Ausgabe Zeiten'!M:AV,35,0))</f>
        <v>0</v>
      </c>
      <c r="T28" s="207">
        <f>IF(ISBLANK($C28),"",VLOOKUP($C28,'Ausgabe Zeiten'!M:AV,36,0))</f>
        <v>1.9828472222222282E-2</v>
      </c>
      <c r="U28" s="208" t="str">
        <f t="shared" si="0"/>
        <v>ok</v>
      </c>
      <c r="V28" s="198" t="str">
        <f t="shared" si="2"/>
        <v>Sortierung A bis Z</v>
      </c>
      <c r="W28" s="208"/>
    </row>
    <row r="29" spans="2:23" s="197" customFormat="1" ht="27.75" customHeight="1">
      <c r="B29" s="234">
        <f t="shared" si="1"/>
        <v>23</v>
      </c>
      <c r="C29" s="233">
        <v>60</v>
      </c>
      <c r="D29" s="235">
        <f>IF(ISBLANK($C29),"",VLOOKUP($C29,Teilnehmer!$B$4:$K$200,2,0))</f>
        <v>3</v>
      </c>
      <c r="E29" s="235">
        <f>IF(ISBLANK($C29),"",VLOOKUP($C29,Teilnehmer!$B$4:$K$200,3,0))</f>
        <v>11</v>
      </c>
      <c r="F29" s="181" t="str">
        <f>IF(ISBLANK($C29),"",VLOOKUP($C29,Teilnehmer!$B$4:$K$200,4,0))</f>
        <v>Hillreiner Stefan</v>
      </c>
      <c r="G29" s="206" t="str">
        <f>IF(ISBLANK($C29),"",VLOOKUP($C29,Teilnehmer!$B$4:$K$200,5,0))</f>
        <v>-</v>
      </c>
      <c r="H29" s="192" t="str">
        <f>IF(ISBLANK($C29),"",VLOOKUP($C29,Teilnehmer!$B$4:$K$200,6,0))</f>
        <v>Scuderia Neuburg</v>
      </c>
      <c r="I29" s="181" t="str">
        <f>IF(ISBLANK($C29),"",VLOOKUP($C29,Teilnehmer!$B$4:$K$200,7,0))</f>
        <v>Alzheimer Dominik</v>
      </c>
      <c r="J29" s="206" t="str">
        <f>IF(ISBLANK($C29),"",VLOOKUP($C29,Teilnehmer!$B$4:$K$200,8,0))</f>
        <v>-</v>
      </c>
      <c r="K29" s="192" t="str">
        <f>IF(ISBLANK($C29),"",VLOOKUP($C29,Teilnehmer!$B$4:$K$200,9,0))</f>
        <v>-</v>
      </c>
      <c r="L29" s="206" t="str">
        <f>IF(ISBLANK($C29),"",VLOOKUP($C29,Teilnehmer!$B$4:$K$200,10,0))</f>
        <v>Audi TTRS</v>
      </c>
      <c r="M29" s="207">
        <f>IF(ISBLANK($C29),"",VLOOKUP($C29,'Ausgabe Zeiten'!M:AV,4,0))</f>
        <v>3.8528935185185298E-3</v>
      </c>
      <c r="N29" s="207">
        <f>IF(ISBLANK($C29),"",VLOOKUP($C29,'Ausgabe Zeiten'!M:AV,9,0))</f>
        <v>4.3260416666666135E-3</v>
      </c>
      <c r="O29" s="228">
        <f>IF(ISBLANK($C29),"",VLOOKUP($C29,'Ausgabe Zeiten'!M:AV,14,0))</f>
        <v>3.5229166666665979E-3</v>
      </c>
      <c r="P29" s="207">
        <f>IF(ISBLANK($C29),"",VLOOKUP($C29,'Ausgabe Zeiten'!M:AV,19,0))</f>
        <v>4.224421296296299E-3</v>
      </c>
      <c r="Q29" s="207">
        <f>IF(ISBLANK($C29),"",VLOOKUP($C29,'Ausgabe Zeiten'!M:AV,24,0))</f>
        <v>3.4627314814814625E-3</v>
      </c>
      <c r="R29" s="207">
        <f>IF(ISBLANK($C29),"",VLOOKUP($C29,'Ausgabe Zeiten'!M:AV,29,0))</f>
        <v>0</v>
      </c>
      <c r="S29" s="207">
        <f>IF(ISBLANK($C29),"",VLOOKUP($C29,'Ausgabe Zeiten'!M:AV,35,0))</f>
        <v>0</v>
      </c>
      <c r="T29" s="207">
        <f>IF(ISBLANK($C29),"",VLOOKUP($C29,'Ausgabe Zeiten'!M:AV,36,0))</f>
        <v>1.9389004629629503E-2</v>
      </c>
      <c r="U29" s="208" t="str">
        <f t="shared" si="0"/>
        <v>ok</v>
      </c>
      <c r="V29" s="198" t="str">
        <f t="shared" si="2"/>
        <v>ok</v>
      </c>
      <c r="W29" s="208"/>
    </row>
    <row r="30" spans="2:23" s="197" customFormat="1" ht="27.75" customHeight="1">
      <c r="B30" s="234">
        <f t="shared" si="1"/>
        <v>24</v>
      </c>
      <c r="C30" s="233">
        <v>55</v>
      </c>
      <c r="D30" s="235">
        <f>IF(ISBLANK($C30),"",VLOOKUP($C30,Teilnehmer!$B$4:$K$200,2,0))</f>
        <v>1</v>
      </c>
      <c r="E30" s="235">
        <f>IF(ISBLANK($C30),"",VLOOKUP($C30,Teilnehmer!$B$4:$K$200,3,0))</f>
        <v>5</v>
      </c>
      <c r="F30" s="181" t="str">
        <f>IF(ISBLANK($C30),"",VLOOKUP($C30,Teilnehmer!$B$4:$K$200,4,0))</f>
        <v>Biendl Willibald</v>
      </c>
      <c r="G30" s="206">
        <f>IF(ISBLANK($C30),"",VLOOKUP($C30,Teilnehmer!$B$4:$K$200,5,0))</f>
        <v>14763</v>
      </c>
      <c r="H30" s="192" t="str">
        <f>IF(ISBLANK($C30),"",VLOOKUP($C30,Teilnehmer!$B$4:$K$200,6,0))</f>
        <v>MSC Mamming</v>
      </c>
      <c r="I30" s="181" t="str">
        <f>IF(ISBLANK($C30),"",VLOOKUP($C30,Teilnehmer!$B$4:$K$200,7,0))</f>
        <v>Schwaiger Viktoria</v>
      </c>
      <c r="J30" s="206">
        <f>IF(ISBLANK($C30),"",VLOOKUP($C30,Teilnehmer!$B$4:$K$200,8,0))</f>
        <v>16168</v>
      </c>
      <c r="K30" s="192" t="str">
        <f>IF(ISBLANK($C30),"",VLOOKUP($C30,Teilnehmer!$B$4:$K$200,9,0))</f>
        <v>SCC Grünthal</v>
      </c>
      <c r="L30" s="206" t="str">
        <f>IF(ISBLANK($C30),"",VLOOKUP($C30,Teilnehmer!$B$4:$K$200,10,0))</f>
        <v>BMW 323ti</v>
      </c>
      <c r="M30" s="207">
        <f>IF(ISBLANK($C30),"",VLOOKUP($C30,'Ausgabe Zeiten'!M:AV,4,0))</f>
        <v>3.8540509259258893E-3</v>
      </c>
      <c r="N30" s="207">
        <f>IF(ISBLANK($C30),"",VLOOKUP($C30,'Ausgabe Zeiten'!M:AV,9,0))</f>
        <v>4.4334490740739474E-3</v>
      </c>
      <c r="O30" s="228">
        <f>IF(ISBLANK($C30),"",VLOOKUP($C30,'Ausgabe Zeiten'!M:AV,14,0))</f>
        <v>3.7975694444444263E-3</v>
      </c>
      <c r="P30" s="207">
        <f>IF(ISBLANK($C30),"",VLOOKUP($C30,'Ausgabe Zeiten'!M:AV,19,0))</f>
        <v>4.2439814814815291E-3</v>
      </c>
      <c r="Q30" s="207">
        <f>IF(ISBLANK($C30),"",VLOOKUP($C30,'Ausgabe Zeiten'!M:AV,24,0))</f>
        <v>3.7384259259258812E-3</v>
      </c>
      <c r="R30" s="207">
        <f>IF(ISBLANK($C30),"",VLOOKUP($C30,'Ausgabe Zeiten'!M:AV,29,0))</f>
        <v>0</v>
      </c>
      <c r="S30" s="207">
        <f>IF(ISBLANK($C30),"",VLOOKUP($C30,'Ausgabe Zeiten'!M:AV,35,0))</f>
        <v>0</v>
      </c>
      <c r="T30" s="207">
        <f>IF(ISBLANK($C30),"",VLOOKUP($C30,'Ausgabe Zeiten'!M:AV,36,0))</f>
        <v>2.0067476851851673E-2</v>
      </c>
      <c r="U30" s="208" t="str">
        <f t="shared" si="0"/>
        <v>ok</v>
      </c>
      <c r="V30" s="198" t="str">
        <f t="shared" si="2"/>
        <v>ok</v>
      </c>
      <c r="W30" s="208"/>
    </row>
    <row r="31" spans="2:23" s="197" customFormat="1" ht="27.75" customHeight="1">
      <c r="B31" s="234">
        <f t="shared" si="1"/>
        <v>25</v>
      </c>
      <c r="C31" s="233">
        <v>28</v>
      </c>
      <c r="D31" s="235">
        <f>IF(ISBLANK($C31),"",VLOOKUP($C31,Teilnehmer!$B$4:$K$200,2,0))</f>
        <v>2</v>
      </c>
      <c r="E31" s="235">
        <f>IF(ISBLANK($C31),"",VLOOKUP($C31,Teilnehmer!$B$4:$K$200,3,0))</f>
        <v>9</v>
      </c>
      <c r="F31" s="181" t="str">
        <f>IF(ISBLANK($C31),"",VLOOKUP($C31,Teilnehmer!$B$4:$K$200,4,0))</f>
        <v>Teves Daniel</v>
      </c>
      <c r="G31" s="206">
        <f>IF(ISBLANK($C31),"",VLOOKUP($C31,Teilnehmer!$B$4:$K$200,5,0))</f>
        <v>16640</v>
      </c>
      <c r="H31" s="192" t="str">
        <f>IF(ISBLANK($C31),"",VLOOKUP($C31,Teilnehmer!$B$4:$K$200,6,0))</f>
        <v>Taunus-Racing-Team</v>
      </c>
      <c r="I31" s="181" t="str">
        <f>IF(ISBLANK($C31),"",VLOOKUP($C31,Teilnehmer!$B$4:$K$200,7,0))</f>
        <v>Meditz Michael</v>
      </c>
      <c r="J31" s="206" t="str">
        <f>IF(ISBLANK($C31),"",VLOOKUP($C31,Teilnehmer!$B$4:$K$200,8,0))</f>
        <v>-</v>
      </c>
      <c r="K31" s="192" t="str">
        <f>IF(ISBLANK($C31),"",VLOOKUP($C31,Teilnehmer!$B$4:$K$200,9,0))</f>
        <v>-</v>
      </c>
      <c r="L31" s="206" t="str">
        <f>IF(ISBLANK($C31),"",VLOOKUP($C31,Teilnehmer!$B$4:$K$200,10,0))</f>
        <v>BMW 318 IS CUP</v>
      </c>
      <c r="M31" s="207">
        <f>IF(ISBLANK($C31),"",VLOOKUP($C31,'Ausgabe Zeiten'!M:AV,4,0))</f>
        <v>3.8771990740741336E-3</v>
      </c>
      <c r="N31" s="207">
        <f>IF(ISBLANK($C31),"",VLOOKUP($C31,'Ausgabe Zeiten'!M:AV,9,0))</f>
        <v>4.4358796296296577E-3</v>
      </c>
      <c r="O31" s="228">
        <f>IF(ISBLANK($C31),"",VLOOKUP($C31,'Ausgabe Zeiten'!M:AV,14,0))</f>
        <v>3.8653935185184451E-3</v>
      </c>
      <c r="P31" s="207">
        <f>IF(ISBLANK($C31),"",VLOOKUP($C31,'Ausgabe Zeiten'!M:AV,19,0))</f>
        <v>4.5599537037037674E-3</v>
      </c>
      <c r="Q31" s="207" t="str">
        <f>IF(ISBLANK($C31),"",VLOOKUP($C31,'Ausgabe Zeiten'!M:AV,24,0))</f>
        <v>ADW</v>
      </c>
      <c r="R31" s="207">
        <f>IF(ISBLANK($C31),"",VLOOKUP($C31,'Ausgabe Zeiten'!M:AV,29,0))</f>
        <v>0</v>
      </c>
      <c r="S31" s="207">
        <f>IF(ISBLANK($C31),"",VLOOKUP($C31,'Ausgabe Zeiten'!M:AV,35,0))</f>
        <v>3.4722222222222224E-4</v>
      </c>
      <c r="T31" s="207" t="str">
        <f>IF(ISBLANK($C31),"",VLOOKUP($C31,'Ausgabe Zeiten'!M:AV,36,0))</f>
        <v>ADW</v>
      </c>
      <c r="U31" s="208" t="e">
        <f t="shared" si="0"/>
        <v>#VALUE!</v>
      </c>
      <c r="V31" s="198" t="str">
        <f t="shared" si="2"/>
        <v>Sortierung A bis Z</v>
      </c>
      <c r="W31" s="208"/>
    </row>
    <row r="32" spans="2:23" s="197" customFormat="1" ht="27.75" customHeight="1">
      <c r="B32" s="234">
        <f t="shared" si="1"/>
        <v>26</v>
      </c>
      <c r="C32" s="233">
        <v>57</v>
      </c>
      <c r="D32" s="235">
        <f>IF(ISBLANK($C32),"",VLOOKUP($C32,Teilnehmer!$B$4:$K$200,2,0))</f>
        <v>1</v>
      </c>
      <c r="E32" s="235">
        <f>IF(ISBLANK($C32),"",VLOOKUP($C32,Teilnehmer!$B$4:$K$200,3,0))</f>
        <v>5</v>
      </c>
      <c r="F32" s="181" t="str">
        <f>IF(ISBLANK($C32),"",VLOOKUP($C32,Teilnehmer!$B$4:$K$200,4,0))</f>
        <v>Humburg Korbinian</v>
      </c>
      <c r="G32" s="206">
        <f>IF(ISBLANK($C32),"",VLOOKUP($C32,Teilnehmer!$B$4:$K$200,5,0))</f>
        <v>16308</v>
      </c>
      <c r="H32" s="192" t="str">
        <f>IF(ISBLANK($C32),"",VLOOKUP($C32,Teilnehmer!$B$4:$K$200,6,0))</f>
        <v>MSC Mamming</v>
      </c>
      <c r="I32" s="181" t="str">
        <f>IF(ISBLANK($C32),"",VLOOKUP($C32,Teilnehmer!$B$4:$K$200,7,0))</f>
        <v>Pöschl Manfred</v>
      </c>
      <c r="J32" s="206">
        <f>IF(ISBLANK($C32),"",VLOOKUP($C32,Teilnehmer!$B$4:$K$200,8,0))</f>
        <v>16309</v>
      </c>
      <c r="K32" s="192" t="str">
        <f>IF(ISBLANK($C32),"",VLOOKUP($C32,Teilnehmer!$B$4:$K$200,9,0))</f>
        <v>-</v>
      </c>
      <c r="L32" s="206" t="str">
        <f>IF(ISBLANK($C32),"",VLOOKUP($C32,Teilnehmer!$B$4:$K$200,10,0))</f>
        <v>BMW E36 328i</v>
      </c>
      <c r="M32" s="207">
        <f>IF(ISBLANK($C32),"",VLOOKUP($C32,'Ausgabe Zeiten'!M:AV,4,0))</f>
        <v>3.9053240740741235E-3</v>
      </c>
      <c r="N32" s="207">
        <f>IF(ISBLANK($C32),"",VLOOKUP($C32,'Ausgabe Zeiten'!M:AV,9,0))</f>
        <v>1.0416666666666666E-2</v>
      </c>
      <c r="O32" s="228" t="str">
        <f>IF(ISBLANK($C32),"",VLOOKUP($C32,'Ausgabe Zeiten'!M:AV,14,0))</f>
        <v>ADW</v>
      </c>
      <c r="P32" s="207" t="str">
        <f>IF(ISBLANK($C32),"",VLOOKUP($C32,'Ausgabe Zeiten'!M:AV,19,0))</f>
        <v>ADW</v>
      </c>
      <c r="Q32" s="207" t="str">
        <f>IF(ISBLANK($C32),"",VLOOKUP($C32,'Ausgabe Zeiten'!M:AV,24,0))</f>
        <v>ADW</v>
      </c>
      <c r="R32" s="207">
        <f>IF(ISBLANK($C32),"",VLOOKUP($C32,'Ausgabe Zeiten'!M:AV,29,0))</f>
        <v>0</v>
      </c>
      <c r="S32" s="207">
        <f>IF(ISBLANK($C32),"",VLOOKUP($C32,'Ausgabe Zeiten'!M:AV,35,0))</f>
        <v>0</v>
      </c>
      <c r="T32" s="207" t="str">
        <f>IF(ISBLANK($C32),"",VLOOKUP($C32,'Ausgabe Zeiten'!M:AV,36,0))</f>
        <v>ADW</v>
      </c>
      <c r="U32" s="208" t="e">
        <f t="shared" si="0"/>
        <v>#VALUE!</v>
      </c>
      <c r="V32" s="198" t="str">
        <f t="shared" si="2"/>
        <v>Sortierung A bis Z</v>
      </c>
      <c r="W32" s="208"/>
    </row>
    <row r="33" spans="2:23" s="197" customFormat="1" ht="27.75" customHeight="1">
      <c r="B33" s="234">
        <f t="shared" si="1"/>
        <v>27</v>
      </c>
      <c r="C33" s="233">
        <v>51</v>
      </c>
      <c r="D33" s="235">
        <f>IF(ISBLANK($C33),"",VLOOKUP($C33,Teilnehmer!$B$4:$K$200,2,0))</f>
        <v>2</v>
      </c>
      <c r="E33" s="235">
        <f>IF(ISBLANK($C33),"",VLOOKUP($C33,Teilnehmer!$B$4:$K$200,3,0))</f>
        <v>7</v>
      </c>
      <c r="F33" s="181" t="str">
        <f>IF(ISBLANK($C33),"",VLOOKUP($C33,Teilnehmer!$B$4:$K$200,4,0))</f>
        <v>Schützmeier Stefan</v>
      </c>
      <c r="G33" s="206">
        <f>IF(ISBLANK($C33),"",VLOOKUP($C33,Teilnehmer!$B$4:$K$200,5,0))</f>
        <v>16634</v>
      </c>
      <c r="H33" s="192" t="str">
        <f>IF(ISBLANK($C33),"",VLOOKUP($C33,Teilnehmer!$B$4:$K$200,6,0))</f>
        <v>Becker &amp; Bosch Racing Team</v>
      </c>
      <c r="I33" s="181" t="str">
        <f>IF(ISBLANK($C33),"",VLOOKUP($C33,Teilnehmer!$B$4:$K$200,7,0))</f>
        <v>Ritter Susann</v>
      </c>
      <c r="J33" s="206">
        <f>IF(ISBLANK($C33),"",VLOOKUP($C33,Teilnehmer!$B$4:$K$200,8,0))</f>
        <v>16724</v>
      </c>
      <c r="K33" s="192" t="str">
        <f>IF(ISBLANK($C33),"",VLOOKUP($C33,Teilnehmer!$B$4:$K$200,9,0))</f>
        <v>Becker &amp; Bosch Racing Team</v>
      </c>
      <c r="L33" s="206" t="str">
        <f>IF(ISBLANK($C33),"",VLOOKUP($C33,Teilnehmer!$B$4:$K$200,10,0))</f>
        <v>Suzuki Swift GTi</v>
      </c>
      <c r="M33" s="207">
        <f>IF(ISBLANK($C33),"",VLOOKUP($C33,'Ausgabe Zeiten'!M:AV,4,0))</f>
        <v>3.9116898148148227E-3</v>
      </c>
      <c r="N33" s="207">
        <f>IF(ISBLANK($C33),"",VLOOKUP($C33,'Ausgabe Zeiten'!M:AV,9,0))</f>
        <v>4.330902777777812E-3</v>
      </c>
      <c r="O33" s="228">
        <f>IF(ISBLANK($C33),"",VLOOKUP($C33,'Ausgabe Zeiten'!M:AV,14,0))</f>
        <v>3.8093749999998927E-3</v>
      </c>
      <c r="P33" s="207">
        <f>IF(ISBLANK($C33),"",VLOOKUP($C33,'Ausgabe Zeiten'!M:AV,19,0))</f>
        <v>4.2972222222222856E-3</v>
      </c>
      <c r="Q33" s="207">
        <f>IF(ISBLANK($C33),"",VLOOKUP($C33,'Ausgabe Zeiten'!M:AV,24,0))</f>
        <v>3.8035879629630953E-3</v>
      </c>
      <c r="R33" s="207">
        <f>IF(ISBLANK($C33),"",VLOOKUP($C33,'Ausgabe Zeiten'!M:AV,29,0))</f>
        <v>0</v>
      </c>
      <c r="S33" s="207">
        <f>IF(ISBLANK($C33),"",VLOOKUP($C33,'Ausgabe Zeiten'!M:AV,35,0))</f>
        <v>0</v>
      </c>
      <c r="T33" s="207">
        <f>IF(ISBLANK($C33),"",VLOOKUP($C33,'Ausgabe Zeiten'!M:AV,36,0))</f>
        <v>2.0152777777777908E-2</v>
      </c>
      <c r="U33" s="208" t="str">
        <f t="shared" si="0"/>
        <v>ok</v>
      </c>
      <c r="V33" s="198" t="str">
        <f t="shared" si="2"/>
        <v>ok</v>
      </c>
      <c r="W33" s="208"/>
    </row>
    <row r="34" spans="2:23" s="197" customFormat="1" ht="27.75" customHeight="1">
      <c r="B34" s="234">
        <f t="shared" si="1"/>
        <v>28</v>
      </c>
      <c r="C34" s="233">
        <v>5</v>
      </c>
      <c r="D34" s="235">
        <f>IF(ISBLANK($C34),"",VLOOKUP($C34,Teilnehmer!$B$4:$K$200,2,0))</f>
        <v>3</v>
      </c>
      <c r="E34" s="235">
        <f>IF(ISBLANK($C34),"",VLOOKUP($C34,Teilnehmer!$B$4:$K$200,3,0))</f>
        <v>11</v>
      </c>
      <c r="F34" s="181" t="str">
        <f>IF(ISBLANK($C34),"",VLOOKUP($C34,Teilnehmer!$B$4:$K$200,4,0))</f>
        <v>Paul Gerhard</v>
      </c>
      <c r="G34" s="206">
        <f>IF(ISBLANK($C34),"",VLOOKUP($C34,Teilnehmer!$B$4:$K$200,5,0))</f>
        <v>16128</v>
      </c>
      <c r="H34" s="192" t="str">
        <f>IF(ISBLANK($C34),"",VLOOKUP($C34,Teilnehmer!$B$4:$K$200,6,0))</f>
        <v>AC Gunzenhausen</v>
      </c>
      <c r="I34" s="181" t="str">
        <f>IF(ISBLANK($C34),"",VLOOKUP($C34,Teilnehmer!$B$4:$K$200,7,0))</f>
        <v>Paul Jana</v>
      </c>
      <c r="J34" s="206">
        <f>IF(ISBLANK($C34),"",VLOOKUP($C34,Teilnehmer!$B$4:$K$200,8,0))</f>
        <v>16127</v>
      </c>
      <c r="K34" s="192" t="str">
        <f>IF(ISBLANK($C34),"",VLOOKUP($C34,Teilnehmer!$B$4:$K$200,9,0))</f>
        <v>AC Gunzenhausen</v>
      </c>
      <c r="L34" s="206" t="str">
        <f>IF(ISBLANK($C34),"",VLOOKUP($C34,Teilnehmer!$B$4:$K$200,10,0))</f>
        <v>BMW E30ix</v>
      </c>
      <c r="M34" s="207">
        <f>IF(ISBLANK($C34),"",VLOOKUP($C34,'Ausgabe Zeiten'!M:AV,4,0))</f>
        <v>3.9246527777778151E-3</v>
      </c>
      <c r="N34" s="207">
        <f>IF(ISBLANK($C34),"",VLOOKUP($C34,'Ausgabe Zeiten'!M:AV,9,0))</f>
        <v>1.0416666666666666E-2</v>
      </c>
      <c r="O34" s="228" t="str">
        <f>IF(ISBLANK($C34),"",VLOOKUP($C34,'Ausgabe Zeiten'!M:AV,14,0))</f>
        <v>ADW</v>
      </c>
      <c r="P34" s="207" t="str">
        <f>IF(ISBLANK($C34),"",VLOOKUP($C34,'Ausgabe Zeiten'!M:AV,19,0))</f>
        <v>ADW</v>
      </c>
      <c r="Q34" s="207" t="str">
        <f>IF(ISBLANK($C34),"",VLOOKUP($C34,'Ausgabe Zeiten'!M:AV,24,0))</f>
        <v>ADW</v>
      </c>
      <c r="R34" s="207">
        <f>IF(ISBLANK($C34),"",VLOOKUP($C34,'Ausgabe Zeiten'!M:AV,29,0))</f>
        <v>0</v>
      </c>
      <c r="S34" s="207">
        <f>IF(ISBLANK($C34),"",VLOOKUP($C34,'Ausgabe Zeiten'!M:AV,35,0))</f>
        <v>0</v>
      </c>
      <c r="T34" s="207" t="str">
        <f>IF(ISBLANK($C34),"",VLOOKUP($C34,'Ausgabe Zeiten'!M:AV,36,0))</f>
        <v>ADW</v>
      </c>
      <c r="U34" s="208" t="e">
        <f t="shared" si="0"/>
        <v>#VALUE!</v>
      </c>
      <c r="V34" s="198" t="str">
        <f t="shared" si="2"/>
        <v>Sortierung A bis Z</v>
      </c>
      <c r="W34" s="208"/>
    </row>
    <row r="35" spans="2:23" s="197" customFormat="1" ht="27.75" customHeight="1">
      <c r="B35" s="234">
        <f t="shared" si="1"/>
        <v>29</v>
      </c>
      <c r="C35" s="233">
        <v>11</v>
      </c>
      <c r="D35" s="235">
        <f>IF(ISBLANK($C35),"",VLOOKUP($C35,Teilnehmer!$B$4:$K$200,2,0))</f>
        <v>2</v>
      </c>
      <c r="E35" s="235">
        <f>IF(ISBLANK($C35),"",VLOOKUP($C35,Teilnehmer!$B$4:$K$200,3,0))</f>
        <v>10</v>
      </c>
      <c r="F35" s="181" t="str">
        <f>IF(ISBLANK($C35),"",VLOOKUP($C35,Teilnehmer!$B$4:$K$200,4,0))</f>
        <v>Wundsam Sebastian</v>
      </c>
      <c r="G35" s="206">
        <f>IF(ISBLANK($C35),"",VLOOKUP($C35,Teilnehmer!$B$4:$K$200,5,0))</f>
        <v>14309</v>
      </c>
      <c r="H35" s="192" t="str">
        <f>IF(ISBLANK($C35),"",VLOOKUP($C35,Teilnehmer!$B$4:$K$200,6,0))</f>
        <v>SWF Weidwies</v>
      </c>
      <c r="I35" s="181" t="str">
        <f>IF(ISBLANK($C35),"",VLOOKUP($C35,Teilnehmer!$B$4:$K$200,7,0))</f>
        <v>Summer Sebastian</v>
      </c>
      <c r="J35" s="206">
        <f>IF(ISBLANK($C35),"",VLOOKUP($C35,Teilnehmer!$B$4:$K$200,8,0))</f>
        <v>16294</v>
      </c>
      <c r="K35" s="192" t="str">
        <f>IF(ISBLANK($C35),"",VLOOKUP($C35,Teilnehmer!$B$4:$K$200,9,0))</f>
        <v>SWF Weidwies</v>
      </c>
      <c r="L35" s="206" t="str">
        <f>IF(ISBLANK($C35),"",VLOOKUP($C35,Teilnehmer!$B$4:$K$200,10,0))</f>
        <v>BMW E36 M3</v>
      </c>
      <c r="M35" s="207">
        <f>IF(ISBLANK($C35),"",VLOOKUP($C35,'Ausgabe Zeiten'!M:AV,4,0))</f>
        <v>3.9358796296296017E-3</v>
      </c>
      <c r="N35" s="207">
        <f>IF(ISBLANK($C35),"",VLOOKUP($C35,'Ausgabe Zeiten'!M:AV,9,0))</f>
        <v>4.2859953703703879E-3</v>
      </c>
      <c r="O35" s="228">
        <f>IF(ISBLANK($C35),"",VLOOKUP($C35,'Ausgabe Zeiten'!M:AV,14,0))</f>
        <v>3.8762731481482016E-3</v>
      </c>
      <c r="P35" s="207">
        <f>IF(ISBLANK($C35),"",VLOOKUP($C35,'Ausgabe Zeiten'!M:AV,19,0))</f>
        <v>1.0416666666666666E-2</v>
      </c>
      <c r="Q35" s="207" t="str">
        <f>IF(ISBLANK($C35),"",VLOOKUP($C35,'Ausgabe Zeiten'!M:AV,24,0))</f>
        <v>ADW</v>
      </c>
      <c r="R35" s="207">
        <f>IF(ISBLANK($C35),"",VLOOKUP($C35,'Ausgabe Zeiten'!M:AV,29,0))</f>
        <v>0</v>
      </c>
      <c r="S35" s="207">
        <f>IF(ISBLANK($C35),"",VLOOKUP($C35,'Ausgabe Zeiten'!M:AV,35,0))</f>
        <v>0</v>
      </c>
      <c r="T35" s="207" t="str">
        <f>IF(ISBLANK($C35),"",VLOOKUP($C35,'Ausgabe Zeiten'!M:AV,36,0))</f>
        <v>ADW</v>
      </c>
      <c r="U35" s="208" t="e">
        <f t="shared" si="0"/>
        <v>#VALUE!</v>
      </c>
      <c r="V35" s="198" t="str">
        <f t="shared" si="2"/>
        <v>Sortierung A bis Z</v>
      </c>
      <c r="W35" s="208"/>
    </row>
    <row r="36" spans="2:23" s="197" customFormat="1" ht="27.75" customHeight="1">
      <c r="B36" s="234">
        <f t="shared" si="1"/>
        <v>30</v>
      </c>
      <c r="C36" s="233">
        <v>47</v>
      </c>
      <c r="D36" s="235">
        <f>IF(ISBLANK($C36),"",VLOOKUP($C36,Teilnehmer!$B$4:$K$200,2,0))</f>
        <v>2</v>
      </c>
      <c r="E36" s="235">
        <f>IF(ISBLANK($C36),"",VLOOKUP($C36,Teilnehmer!$B$4:$K$200,3,0))</f>
        <v>8</v>
      </c>
      <c r="F36" s="181" t="str">
        <f>IF(ISBLANK($C36),"",VLOOKUP($C36,Teilnehmer!$B$4:$K$200,4,0))</f>
        <v>Kahler Patrick</v>
      </c>
      <c r="G36" s="206" t="str">
        <f>IF(ISBLANK($C36),"",VLOOKUP($C36,Teilnehmer!$B$4:$K$200,5,0))</f>
        <v>-</v>
      </c>
      <c r="H36" s="192" t="str">
        <f>IF(ISBLANK($C36),"",VLOOKUP($C36,Teilnehmer!$B$4:$K$200,6,0))</f>
        <v>1stTime2nd-Rallyesport</v>
      </c>
      <c r="I36" s="181" t="str">
        <f>IF(ISBLANK($C36),"",VLOOKUP($C36,Teilnehmer!$B$4:$K$200,7,0))</f>
        <v>Schöppach Dominic</v>
      </c>
      <c r="J36" s="206" t="str">
        <f>IF(ISBLANK($C36),"",VLOOKUP($C36,Teilnehmer!$B$4:$K$200,8,0))</f>
        <v>-</v>
      </c>
      <c r="K36" s="192" t="str">
        <f>IF(ISBLANK($C36),"",VLOOKUP($C36,Teilnehmer!$B$4:$K$200,9,0))</f>
        <v>-</v>
      </c>
      <c r="L36" s="206" t="str">
        <f>IF(ISBLANK($C36),"",VLOOKUP($C36,Teilnehmer!$B$4:$K$200,10,0))</f>
        <v>Citroën Saxo VTS</v>
      </c>
      <c r="M36" s="207">
        <f>IF(ISBLANK($C36),"",VLOOKUP($C36,'Ausgabe Zeiten'!M:AV,4,0))</f>
        <v>3.9505787037036333E-3</v>
      </c>
      <c r="N36" s="207">
        <f>IF(ISBLANK($C36),"",VLOOKUP($C36,'Ausgabe Zeiten'!M:AV,9,0))</f>
        <v>4.579745370370425E-3</v>
      </c>
      <c r="O36" s="228">
        <f>IF(ISBLANK($C36),"",VLOOKUP($C36,'Ausgabe Zeiten'!M:AV,14,0))</f>
        <v>3.9217592592591943E-3</v>
      </c>
      <c r="P36" s="207">
        <f>IF(ISBLANK($C36),"",VLOOKUP($C36,'Ausgabe Zeiten'!M:AV,19,0))</f>
        <v>4.3832175925925254E-3</v>
      </c>
      <c r="Q36" s="207">
        <f>IF(ISBLANK($C36),"",VLOOKUP($C36,'Ausgabe Zeiten'!M:AV,24,0))</f>
        <v>3.8548611111112185E-3</v>
      </c>
      <c r="R36" s="207">
        <f>IF(ISBLANK($C36),"",VLOOKUP($C36,'Ausgabe Zeiten'!M:AV,29,0))</f>
        <v>0</v>
      </c>
      <c r="S36" s="207">
        <f>IF(ISBLANK($C36),"",VLOOKUP($C36,'Ausgabe Zeiten'!M:AV,35,0))</f>
        <v>0</v>
      </c>
      <c r="T36" s="207">
        <f>IF(ISBLANK($C36),"",VLOOKUP($C36,'Ausgabe Zeiten'!M:AV,36,0))</f>
        <v>2.0690162037036997E-2</v>
      </c>
      <c r="U36" s="208" t="str">
        <f t="shared" si="0"/>
        <v>ok</v>
      </c>
      <c r="V36" s="198" t="str">
        <f t="shared" si="2"/>
        <v>ok</v>
      </c>
      <c r="W36" s="208"/>
    </row>
    <row r="37" spans="2:23" s="197" customFormat="1" ht="27.75" customHeight="1">
      <c r="B37" s="234">
        <f t="shared" si="1"/>
        <v>31</v>
      </c>
      <c r="C37" s="233">
        <v>56</v>
      </c>
      <c r="D37" s="235">
        <f>IF(ISBLANK($C37),"",VLOOKUP($C37,Teilnehmer!$B$4:$K$200,2,0))</f>
        <v>1</v>
      </c>
      <c r="E37" s="235">
        <f>IF(ISBLANK($C37),"",VLOOKUP($C37,Teilnehmer!$B$4:$K$200,3,0))</f>
        <v>5</v>
      </c>
      <c r="F37" s="181" t="str">
        <f>IF(ISBLANK($C37),"",VLOOKUP($C37,Teilnehmer!$B$4:$K$200,4,0))</f>
        <v>Knese Fabian</v>
      </c>
      <c r="G37" s="206">
        <f>IF(ISBLANK($C37),"",VLOOKUP($C37,Teilnehmer!$B$4:$K$200,5,0))</f>
        <v>15997</v>
      </c>
      <c r="H37" s="192" t="str">
        <f>IF(ISBLANK($C37),"",VLOOKUP($C37,Teilnehmer!$B$4:$K$200,6,0))</f>
        <v>UMC Ulm / MC Einsingen / MSC Mamming</v>
      </c>
      <c r="I37" s="181" t="str">
        <f>IF(ISBLANK($C37),"",VLOOKUP($C37,Teilnehmer!$B$4:$K$200,7,0))</f>
        <v>Sancakli Dean</v>
      </c>
      <c r="J37" s="206">
        <f>IF(ISBLANK($C37),"",VLOOKUP($C37,Teilnehmer!$B$4:$K$200,8,0))</f>
        <v>16625</v>
      </c>
      <c r="K37" s="192" t="str">
        <f>IF(ISBLANK($C37),"",VLOOKUP($C37,Teilnehmer!$B$4:$K$200,9,0))</f>
        <v>-</v>
      </c>
      <c r="L37" s="206" t="str">
        <f>IF(ISBLANK($C37),"",VLOOKUP($C37,Teilnehmer!$B$4:$K$200,10,0))</f>
        <v>BMW E36</v>
      </c>
      <c r="M37" s="207">
        <f>IF(ISBLANK($C37),"",VLOOKUP($C37,'Ausgabe Zeiten'!M:AV,4,0))</f>
        <v>3.9542824074074168E-3</v>
      </c>
      <c r="N37" s="207">
        <f>IF(ISBLANK($C37),"",VLOOKUP($C37,'Ausgabe Zeiten'!M:AV,9,0))</f>
        <v>5.0344907407408046E-3</v>
      </c>
      <c r="O37" s="228">
        <f>IF(ISBLANK($C37),"",VLOOKUP($C37,'Ausgabe Zeiten'!M:AV,14,0))</f>
        <v>3.9190972222220566E-3</v>
      </c>
      <c r="P37" s="207">
        <f>IF(ISBLANK($C37),"",VLOOKUP($C37,'Ausgabe Zeiten'!M:AV,19,0))</f>
        <v>4.6348379629630454E-3</v>
      </c>
      <c r="Q37" s="207">
        <f>IF(ISBLANK($C37),"",VLOOKUP($C37,'Ausgabe Zeiten'!M:AV,24,0))</f>
        <v>3.9114583333332842E-3</v>
      </c>
      <c r="R37" s="207">
        <f>IF(ISBLANK($C37),"",VLOOKUP($C37,'Ausgabe Zeiten'!M:AV,29,0))</f>
        <v>0</v>
      </c>
      <c r="S37" s="207">
        <f>IF(ISBLANK($C37),"",VLOOKUP($C37,'Ausgabe Zeiten'!M:AV,35,0))</f>
        <v>0</v>
      </c>
      <c r="T37" s="207">
        <f>IF(ISBLANK($C37),"",VLOOKUP($C37,'Ausgabe Zeiten'!M:AV,36,0))</f>
        <v>2.1454166666666608E-2</v>
      </c>
      <c r="U37" s="208" t="str">
        <f t="shared" si="0"/>
        <v>ok</v>
      </c>
      <c r="V37" s="198" t="str">
        <f t="shared" si="2"/>
        <v>Sortierung A bis Z</v>
      </c>
      <c r="W37" s="208"/>
    </row>
    <row r="38" spans="2:23" s="197" customFormat="1" ht="27.75" customHeight="1">
      <c r="B38" s="234">
        <f t="shared" si="1"/>
        <v>32</v>
      </c>
      <c r="C38" s="233">
        <v>38</v>
      </c>
      <c r="D38" s="235">
        <f>IF(ISBLANK($C38),"",VLOOKUP($C38,Teilnehmer!$B$4:$K$200,2,0))</f>
        <v>2</v>
      </c>
      <c r="E38" s="235">
        <f>IF(ISBLANK($C38),"",VLOOKUP($C38,Teilnehmer!$B$4:$K$200,3,0))</f>
        <v>9</v>
      </c>
      <c r="F38" s="181" t="str">
        <f>IF(ISBLANK($C38),"",VLOOKUP($C38,Teilnehmer!$B$4:$K$200,4,0))</f>
        <v>Müller Moritz</v>
      </c>
      <c r="G38" s="206" t="str">
        <f>IF(ISBLANK($C38),"",VLOOKUP($C38,Teilnehmer!$B$4:$K$200,5,0))</f>
        <v>-</v>
      </c>
      <c r="H38" s="192" t="str">
        <f>IF(ISBLANK($C38),"",VLOOKUP($C38,Teilnehmer!$B$4:$K$200,6,0))</f>
        <v>-</v>
      </c>
      <c r="I38" s="181" t="str">
        <f>IF(ISBLANK($C38),"",VLOOKUP($C38,Teilnehmer!$B$4:$K$200,7,0))</f>
        <v>Müller Lukas</v>
      </c>
      <c r="J38" s="206" t="str">
        <f>IF(ISBLANK($C38),"",VLOOKUP($C38,Teilnehmer!$B$4:$K$200,8,0))</f>
        <v>-</v>
      </c>
      <c r="K38" s="192" t="str">
        <f>IF(ISBLANK($C38),"",VLOOKUP($C38,Teilnehmer!$B$4:$K$200,9,0))</f>
        <v>-</v>
      </c>
      <c r="L38" s="206" t="str">
        <f>IF(ISBLANK($C38),"",VLOOKUP($C38,Teilnehmer!$B$4:$K$200,10,0))</f>
        <v>Honda FN2</v>
      </c>
      <c r="M38" s="207">
        <f>IF(ISBLANK($C38),"",VLOOKUP($C38,'Ausgabe Zeiten'!M:AV,4,0))</f>
        <v>3.9589120370369657E-3</v>
      </c>
      <c r="N38" s="207">
        <f>IF(ISBLANK($C38),"",VLOOKUP($C38,'Ausgabe Zeiten'!M:AV,9,0))</f>
        <v>4.6304398148148129E-3</v>
      </c>
      <c r="O38" s="228">
        <f>IF(ISBLANK($C38),"",VLOOKUP($C38,'Ausgabe Zeiten'!M:AV,14,0))</f>
        <v>3.7840277777777542E-3</v>
      </c>
      <c r="P38" s="207">
        <f>IF(ISBLANK($C38),"",VLOOKUP($C38,'Ausgabe Zeiten'!M:AV,19,0))</f>
        <v>4.3613425925925764E-3</v>
      </c>
      <c r="Q38" s="207">
        <f>IF(ISBLANK($C38),"",VLOOKUP($C38,'Ausgabe Zeiten'!M:AV,24,0))</f>
        <v>3.6978009259258648E-3</v>
      </c>
      <c r="R38" s="207">
        <f>IF(ISBLANK($C38),"",VLOOKUP($C38,'Ausgabe Zeiten'!M:AV,29,0))</f>
        <v>0</v>
      </c>
      <c r="S38" s="207">
        <f>IF(ISBLANK($C38),"",VLOOKUP($C38,'Ausgabe Zeiten'!M:AV,35,0))</f>
        <v>3.4722222222222224E-4</v>
      </c>
      <c r="T38" s="207">
        <f>IF(ISBLANK($C38),"",VLOOKUP($C38,'Ausgabe Zeiten'!M:AV,36,0))</f>
        <v>2.0779745370370195E-2</v>
      </c>
      <c r="U38" s="208" t="str">
        <f t="shared" si="0"/>
        <v>ok</v>
      </c>
      <c r="V38" s="198" t="str">
        <f t="shared" si="2"/>
        <v>ok</v>
      </c>
      <c r="W38" s="208"/>
    </row>
    <row r="39" spans="2:23" s="197" customFormat="1" ht="27.75" customHeight="1">
      <c r="B39" s="234">
        <f t="shared" si="1"/>
        <v>33</v>
      </c>
      <c r="C39" s="233">
        <v>59</v>
      </c>
      <c r="D39" s="235">
        <f>IF(ISBLANK($C39),"",VLOOKUP($C39,Teilnehmer!$B$4:$K$200,2,0))</f>
        <v>1</v>
      </c>
      <c r="E39" s="235">
        <f>IF(ISBLANK($C39),"",VLOOKUP($C39,Teilnehmer!$B$4:$K$200,3,0))</f>
        <v>5</v>
      </c>
      <c r="F39" s="181" t="str">
        <f>IF(ISBLANK($C39),"",VLOOKUP($C39,Teilnehmer!$B$4:$K$200,4,0))</f>
        <v>Stör Andreas</v>
      </c>
      <c r="G39" s="206">
        <f>IF(ISBLANK($C39),"",VLOOKUP($C39,Teilnehmer!$B$4:$K$200,5,0))</f>
        <v>16415</v>
      </c>
      <c r="H39" s="192" t="str">
        <f>IF(ISBLANK($C39),"",VLOOKUP($C39,Teilnehmer!$B$4:$K$200,6,0))</f>
        <v>AC Gunzenhausen</v>
      </c>
      <c r="I39" s="181" t="str">
        <f>IF(ISBLANK($C39),"",VLOOKUP($C39,Teilnehmer!$B$4:$K$200,7,0))</f>
        <v>Haderlein Jan</v>
      </c>
      <c r="J39" s="206">
        <f>IF(ISBLANK($C39),"",VLOOKUP($C39,Teilnehmer!$B$4:$K$200,8,0))</f>
        <v>0</v>
      </c>
      <c r="K39" s="192" t="str">
        <f>IF(ISBLANK($C39),"",VLOOKUP($C39,Teilnehmer!$B$4:$K$200,9,0))</f>
        <v>AC Gunzenhausen</v>
      </c>
      <c r="L39" s="206" t="str">
        <f>IF(ISBLANK($C39),"",VLOOKUP($C39,Teilnehmer!$B$4:$K$200,10,0))</f>
        <v>BMW 323ti</v>
      </c>
      <c r="M39" s="207">
        <f>IF(ISBLANK($C39),"",VLOOKUP($C39,'Ausgabe Zeiten'!M:AV,4,0))</f>
        <v>3.9620370370370694E-3</v>
      </c>
      <c r="N39" s="207">
        <f>IF(ISBLANK($C39),"",VLOOKUP($C39,'Ausgabe Zeiten'!M:AV,9,0))</f>
        <v>4.6475694444444438E-3</v>
      </c>
      <c r="O39" s="228">
        <f>IF(ISBLANK($C39),"",VLOOKUP($C39,'Ausgabe Zeiten'!M:AV,14,0))</f>
        <v>4.0274305555555445E-3</v>
      </c>
      <c r="P39" s="207">
        <f>IF(ISBLANK($C39),"",VLOOKUP($C39,'Ausgabe Zeiten'!M:AV,19,0))</f>
        <v>4.546759259259292E-3</v>
      </c>
      <c r="Q39" s="207">
        <f>IF(ISBLANK($C39),"",VLOOKUP($C39,'Ausgabe Zeiten'!M:AV,24,0))</f>
        <v>3.9876157407406909E-3</v>
      </c>
      <c r="R39" s="207">
        <f>IF(ISBLANK($C39),"",VLOOKUP($C39,'Ausgabe Zeiten'!M:AV,29,0))</f>
        <v>0</v>
      </c>
      <c r="S39" s="207">
        <f>IF(ISBLANK($C39),"",VLOOKUP($C39,'Ausgabe Zeiten'!M:AV,35,0))</f>
        <v>0</v>
      </c>
      <c r="T39" s="207">
        <f>IF(ISBLANK($C39),"",VLOOKUP($C39,'Ausgabe Zeiten'!M:AV,36,0))</f>
        <v>2.1171412037037041E-2</v>
      </c>
      <c r="U39" s="208" t="str">
        <f t="shared" ref="U39:U65" si="3">IF(ISBLANK($C39),"",IF(T39-SUM(M39:S39)=0,"ok","X"))</f>
        <v>ok</v>
      </c>
      <c r="V39" s="198" t="str">
        <f t="shared" si="2"/>
        <v>ok</v>
      </c>
      <c r="W39" s="208"/>
    </row>
    <row r="40" spans="2:23" s="197" customFormat="1" ht="27.75" customHeight="1">
      <c r="B40" s="234">
        <f t="shared" si="1"/>
        <v>34</v>
      </c>
      <c r="C40" s="233">
        <v>23</v>
      </c>
      <c r="D40" s="235">
        <f>IF(ISBLANK($C40),"",VLOOKUP($C40,Teilnehmer!$B$4:$K$200,2,0))</f>
        <v>2</v>
      </c>
      <c r="E40" s="235">
        <f>IF(ISBLANK($C40),"",VLOOKUP($C40,Teilnehmer!$B$4:$K$200,3,0))</f>
        <v>9</v>
      </c>
      <c r="F40" s="181" t="str">
        <f>IF(ISBLANK($C40),"",VLOOKUP($C40,Teilnehmer!$B$4:$K$200,4,0))</f>
        <v>Spieß Jürgen</v>
      </c>
      <c r="G40" s="206">
        <f>IF(ISBLANK($C40),"",VLOOKUP($C40,Teilnehmer!$B$4:$K$200,5,0))</f>
        <v>12467</v>
      </c>
      <c r="H40" s="192" t="str">
        <f>IF(ISBLANK($C40),"",VLOOKUP($C40,Teilnehmer!$B$4:$K$200,6,0))</f>
        <v>MSC Mamming</v>
      </c>
      <c r="I40" s="181" t="str">
        <f>IF(ISBLANK($C40),"",VLOOKUP($C40,Teilnehmer!$B$4:$K$200,7,0))</f>
        <v>Wythe Axel</v>
      </c>
      <c r="J40" s="206">
        <f>IF(ISBLANK($C40),"",VLOOKUP($C40,Teilnehmer!$B$4:$K$200,8,0))</f>
        <v>12778</v>
      </c>
      <c r="K40" s="192" t="str">
        <f>IF(ISBLANK($C40),"",VLOOKUP($C40,Teilnehmer!$B$4:$K$200,9,0))</f>
        <v>MSC Mamming</v>
      </c>
      <c r="L40" s="206" t="str">
        <f>IF(ISBLANK($C40),"",VLOOKUP($C40,Teilnehmer!$B$4:$K$200,10,0))</f>
        <v>Opel Ascona B</v>
      </c>
      <c r="M40" s="207">
        <f>IF(ISBLANK($C40),"",VLOOKUP($C40,'Ausgabe Zeiten'!M:AV,4,0))</f>
        <v>3.9659722222221694E-3</v>
      </c>
      <c r="N40" s="207">
        <f>IF(ISBLANK($C40),"",VLOOKUP($C40,'Ausgabe Zeiten'!M:AV,9,0))</f>
        <v>1.0416666666666666E-2</v>
      </c>
      <c r="O40" s="228" t="str">
        <f>IF(ISBLANK($C40),"",VLOOKUP($C40,'Ausgabe Zeiten'!M:AV,14,0))</f>
        <v>ADW</v>
      </c>
      <c r="P40" s="207" t="str">
        <f>IF(ISBLANK($C40),"",VLOOKUP($C40,'Ausgabe Zeiten'!M:AV,19,0))</f>
        <v>ADW</v>
      </c>
      <c r="Q40" s="207" t="str">
        <f>IF(ISBLANK($C40),"",VLOOKUP($C40,'Ausgabe Zeiten'!M:AV,24,0))</f>
        <v>ADW</v>
      </c>
      <c r="R40" s="207">
        <f>IF(ISBLANK($C40),"",VLOOKUP($C40,'Ausgabe Zeiten'!M:AV,29,0))</f>
        <v>0</v>
      </c>
      <c r="S40" s="207">
        <f>IF(ISBLANK($C40),"",VLOOKUP($C40,'Ausgabe Zeiten'!M:AV,35,0))</f>
        <v>0</v>
      </c>
      <c r="T40" s="207" t="str">
        <f>IF(ISBLANK($C40),"",VLOOKUP($C40,'Ausgabe Zeiten'!M:AV,36,0))</f>
        <v>ADW</v>
      </c>
      <c r="U40" s="208" t="e">
        <f t="shared" si="3"/>
        <v>#VALUE!</v>
      </c>
      <c r="V40" s="198" t="str">
        <f t="shared" si="2"/>
        <v>Sortierung A bis Z</v>
      </c>
      <c r="W40" s="208"/>
    </row>
    <row r="41" spans="2:23" s="197" customFormat="1" ht="27.75" customHeight="1">
      <c r="B41" s="234">
        <f t="shared" si="1"/>
        <v>35</v>
      </c>
      <c r="C41" s="233">
        <v>48</v>
      </c>
      <c r="D41" s="235">
        <f>IF(ISBLANK($C41),"",VLOOKUP($C41,Teilnehmer!$B$4:$K$200,2,0))</f>
        <v>2</v>
      </c>
      <c r="E41" s="235">
        <f>IF(ISBLANK($C41),"",VLOOKUP($C41,Teilnehmer!$B$4:$K$200,3,0))</f>
        <v>8</v>
      </c>
      <c r="F41" s="181" t="str">
        <f>IF(ISBLANK($C41),"",VLOOKUP($C41,Teilnehmer!$B$4:$K$200,4,0))</f>
        <v>Griesdorn Sebastian</v>
      </c>
      <c r="G41" s="206">
        <f>IF(ISBLANK($C41),"",VLOOKUP($C41,Teilnehmer!$B$4:$K$200,5,0))</f>
        <v>15626</v>
      </c>
      <c r="H41" s="192" t="str">
        <f>IF(ISBLANK($C41),"",VLOOKUP($C41,Teilnehmer!$B$4:$K$200,6,0))</f>
        <v>BG Rallyesport</v>
      </c>
      <c r="I41" s="181" t="str">
        <f>IF(ISBLANK($C41),"",VLOOKUP($C41,Teilnehmer!$B$4:$K$200,7,0))</f>
        <v>Bitsch Marco</v>
      </c>
      <c r="J41" s="206">
        <f>IF(ISBLANK($C41),"",VLOOKUP($C41,Teilnehmer!$B$4:$K$200,8,0))</f>
        <v>16561</v>
      </c>
      <c r="K41" s="192" t="str">
        <f>IF(ISBLANK($C41),"",VLOOKUP($C41,Teilnehmer!$B$4:$K$200,9,0))</f>
        <v>BG Rallyesport</v>
      </c>
      <c r="L41" s="206" t="str">
        <f>IF(ISBLANK($C41),"",VLOOKUP($C41,Teilnehmer!$B$4:$K$200,10,0))</f>
        <v>Honda Civic</v>
      </c>
      <c r="M41" s="207">
        <f>IF(ISBLANK($C41),"",VLOOKUP($C41,'Ausgabe Zeiten'!M:AV,4,0))</f>
        <v>3.9976851851851736E-3</v>
      </c>
      <c r="N41" s="207">
        <f>IF(ISBLANK($C41),"",VLOOKUP($C41,'Ausgabe Zeiten'!M:AV,9,0))</f>
        <v>4.4240740740740803E-3</v>
      </c>
      <c r="O41" s="228">
        <f>IF(ISBLANK($C41),"",VLOOKUP($C41,'Ausgabe Zeiten'!M:AV,14,0))</f>
        <v>3.9211805555555701E-3</v>
      </c>
      <c r="P41" s="207">
        <f>IF(ISBLANK($C41),"",VLOOKUP($C41,'Ausgabe Zeiten'!M:AV,19,0))</f>
        <v>4.2995370370370045E-3</v>
      </c>
      <c r="Q41" s="207">
        <f>IF(ISBLANK($C41),"",VLOOKUP($C41,'Ausgabe Zeiten'!M:AV,24,0))</f>
        <v>3.8596064814814257E-3</v>
      </c>
      <c r="R41" s="207">
        <f>IF(ISBLANK($C41),"",VLOOKUP($C41,'Ausgabe Zeiten'!M:AV,29,0))</f>
        <v>0</v>
      </c>
      <c r="S41" s="207">
        <f>IF(ISBLANK($C41),"",VLOOKUP($C41,'Ausgabe Zeiten'!M:AV,35,0))</f>
        <v>0</v>
      </c>
      <c r="T41" s="207">
        <f>IF(ISBLANK($C41),"",VLOOKUP($C41,'Ausgabe Zeiten'!M:AV,36,0))</f>
        <v>2.0502083333333254E-2</v>
      </c>
      <c r="U41" s="208" t="str">
        <f t="shared" si="3"/>
        <v>ok</v>
      </c>
      <c r="V41" s="198" t="str">
        <f t="shared" si="2"/>
        <v>ok</v>
      </c>
      <c r="W41" s="208"/>
    </row>
    <row r="42" spans="2:23" s="197" customFormat="1" ht="27.75" customHeight="1">
      <c r="B42" s="234">
        <f t="shared" si="1"/>
        <v>36</v>
      </c>
      <c r="C42" s="233">
        <v>40</v>
      </c>
      <c r="D42" s="235">
        <f>IF(ISBLANK($C42),"",VLOOKUP($C42,Teilnehmer!$B$4:$K$200,2,0))</f>
        <v>2</v>
      </c>
      <c r="E42" s="235">
        <f>IF(ISBLANK($C42),"",VLOOKUP($C42,Teilnehmer!$B$4:$K$200,3,0))</f>
        <v>8</v>
      </c>
      <c r="F42" s="181" t="str">
        <f>IF(ISBLANK($C42),"",VLOOKUP($C42,Teilnehmer!$B$4:$K$200,4,0))</f>
        <v>Preis Gerhard</v>
      </c>
      <c r="G42" s="206">
        <f>IF(ISBLANK($C42),"",VLOOKUP($C42,Teilnehmer!$B$4:$K$200,5,0))</f>
        <v>15058</v>
      </c>
      <c r="H42" s="192" t="str">
        <f>IF(ISBLANK($C42),"",VLOOKUP($C42,Teilnehmer!$B$4:$K$200,6,0))</f>
        <v>-</v>
      </c>
      <c r="I42" s="181" t="str">
        <f>IF(ISBLANK($C42),"",VLOOKUP($C42,Teilnehmer!$B$4:$K$200,7,0))</f>
        <v>Zellner Samuel</v>
      </c>
      <c r="J42" s="206">
        <f>IF(ISBLANK($C42),"",VLOOKUP($C42,Teilnehmer!$B$4:$K$200,8,0))</f>
        <v>16716</v>
      </c>
      <c r="K42" s="192" t="str">
        <f>IF(ISBLANK($C42),"",VLOOKUP($C42,Teilnehmer!$B$4:$K$200,9,0))</f>
        <v>-</v>
      </c>
      <c r="L42" s="206" t="str">
        <f>IF(ISBLANK($C42),"",VLOOKUP($C42,Teilnehmer!$B$4:$K$200,10,0))</f>
        <v>VW Polo GTI</v>
      </c>
      <c r="M42" s="207">
        <f>IF(ISBLANK($C42),"",VLOOKUP($C42,'Ausgabe Zeiten'!M:AV,4,0))</f>
        <v>4.0042824074074113E-3</v>
      </c>
      <c r="N42" s="207">
        <f>IF(ISBLANK($C42),"",VLOOKUP($C42,'Ausgabe Zeiten'!M:AV,9,0))</f>
        <v>4.525810185185164E-3</v>
      </c>
      <c r="O42" s="228">
        <f>IF(ISBLANK($C42),"",VLOOKUP($C42,'Ausgabe Zeiten'!M:AV,14,0))</f>
        <v>3.9554398148148318E-3</v>
      </c>
      <c r="P42" s="207">
        <f>IF(ISBLANK($C42),"",VLOOKUP($C42,'Ausgabe Zeiten'!M:AV,19,0))</f>
        <v>4.4241898148147385E-3</v>
      </c>
      <c r="Q42" s="207">
        <f>IF(ISBLANK($C42),"",VLOOKUP($C42,'Ausgabe Zeiten'!M:AV,24,0))</f>
        <v>3.9407407407408002E-3</v>
      </c>
      <c r="R42" s="207">
        <f>IF(ISBLANK($C42),"",VLOOKUP($C42,'Ausgabe Zeiten'!M:AV,29,0))</f>
        <v>0</v>
      </c>
      <c r="S42" s="207">
        <f>IF(ISBLANK($C42),"",VLOOKUP($C42,'Ausgabe Zeiten'!M:AV,35,0))</f>
        <v>0</v>
      </c>
      <c r="T42" s="207">
        <f>IF(ISBLANK($C42),"",VLOOKUP($C42,'Ausgabe Zeiten'!M:AV,36,0))</f>
        <v>2.0850462962962946E-2</v>
      </c>
      <c r="U42" s="208" t="str">
        <f t="shared" si="3"/>
        <v>ok</v>
      </c>
      <c r="V42" s="198" t="str">
        <f t="shared" si="2"/>
        <v>ok</v>
      </c>
      <c r="W42" s="208"/>
    </row>
    <row r="43" spans="2:23" s="197" customFormat="1" ht="27.75" customHeight="1">
      <c r="B43" s="234">
        <f t="shared" si="1"/>
        <v>37</v>
      </c>
      <c r="C43" s="233">
        <v>8</v>
      </c>
      <c r="D43" s="235">
        <f>IF(ISBLANK($C43),"",VLOOKUP($C43,Teilnehmer!$B$4:$K$200,2,0))</f>
        <v>3</v>
      </c>
      <c r="E43" s="235">
        <f>IF(ISBLANK($C43),"",VLOOKUP($C43,Teilnehmer!$B$4:$K$200,3,0))</f>
        <v>11</v>
      </c>
      <c r="F43" s="181" t="str">
        <f>IF(ISBLANK($C43),"",VLOOKUP($C43,Teilnehmer!$B$4:$K$200,4,0))</f>
        <v>Wallner Jakob</v>
      </c>
      <c r="G43" s="206" t="str">
        <f>IF(ISBLANK($C43),"",VLOOKUP($C43,Teilnehmer!$B$4:$K$200,5,0))</f>
        <v>-</v>
      </c>
      <c r="H43" s="192" t="str">
        <f>IF(ISBLANK($C43),"",VLOOKUP($C43,Teilnehmer!$B$4:$K$200,6,0))</f>
        <v>MSC Kitzbühel</v>
      </c>
      <c r="I43" s="181" t="str">
        <f>IF(ISBLANK($C43),"",VLOOKUP($C43,Teilnehmer!$B$4:$K$200,7,0))</f>
        <v>Pail Julia</v>
      </c>
      <c r="J43" s="206" t="str">
        <f>IF(ISBLANK($C43),"",VLOOKUP($C43,Teilnehmer!$B$4:$K$200,8,0))</f>
        <v>-</v>
      </c>
      <c r="K43" s="192" t="str">
        <f>IF(ISBLANK($C43),"",VLOOKUP($C43,Teilnehmer!$B$4:$K$200,9,0))</f>
        <v>MSC Kitzbühel</v>
      </c>
      <c r="L43" s="206" t="str">
        <f>IF(ISBLANK($C43),"",VLOOKUP($C43,Teilnehmer!$B$4:$K$200,10,0))</f>
        <v>Lancia Delta integrale 16v</v>
      </c>
      <c r="M43" s="207">
        <f>IF(ISBLANK($C43),"",VLOOKUP($C43,'Ausgabe Zeiten'!M:AV,4,0))</f>
        <v>4.0222222222221493E-3</v>
      </c>
      <c r="N43" s="207">
        <f>IF(ISBLANK($C43),"",VLOOKUP($C43,'Ausgabe Zeiten'!M:AV,9,0))</f>
        <v>4.5642361111110641E-3</v>
      </c>
      <c r="O43" s="228">
        <f>IF(ISBLANK($C43),"",VLOOKUP($C43,'Ausgabe Zeiten'!M:AV,14,0))</f>
        <v>3.9091435185185652E-3</v>
      </c>
      <c r="P43" s="207">
        <f>IF(ISBLANK($C43),"",VLOOKUP($C43,'Ausgabe Zeiten'!M:AV,19,0))</f>
        <v>4.2843749999998959E-3</v>
      </c>
      <c r="Q43" s="207">
        <f>IF(ISBLANK($C43),"",VLOOKUP($C43,'Ausgabe Zeiten'!M:AV,24,0))</f>
        <v>4.1083333333333805E-3</v>
      </c>
      <c r="R43" s="207">
        <f>IF(ISBLANK($C43),"",VLOOKUP($C43,'Ausgabe Zeiten'!M:AV,29,0))</f>
        <v>0</v>
      </c>
      <c r="S43" s="207">
        <f>IF(ISBLANK($C43),"",VLOOKUP($C43,'Ausgabe Zeiten'!M:AV,35,0))</f>
        <v>0</v>
      </c>
      <c r="T43" s="207" t="str">
        <f>IF(ISBLANK($C43),"",VLOOKUP($C43,'Ausgabe Zeiten'!M:AV,36,0))</f>
        <v>ADW</v>
      </c>
      <c r="U43" s="208" t="e">
        <f t="shared" si="3"/>
        <v>#VALUE!</v>
      </c>
      <c r="V43" s="198" t="str">
        <f t="shared" si="2"/>
        <v>Sortierung A bis Z</v>
      </c>
      <c r="W43" s="208"/>
    </row>
    <row r="44" spans="2:23" s="197" customFormat="1" ht="27.75" customHeight="1">
      <c r="B44" s="234">
        <f t="shared" si="1"/>
        <v>38</v>
      </c>
      <c r="C44" s="233">
        <v>42</v>
      </c>
      <c r="D44" s="235">
        <f>IF(ISBLANK($C44),"",VLOOKUP($C44,Teilnehmer!$B$4:$K$200,2,0))</f>
        <v>2</v>
      </c>
      <c r="E44" s="235">
        <f>IF(ISBLANK($C44),"",VLOOKUP($C44,Teilnehmer!$B$4:$K$200,3,0))</f>
        <v>9</v>
      </c>
      <c r="F44" s="181" t="str">
        <f>IF(ISBLANK($C44),"",VLOOKUP($C44,Teilnehmer!$B$4:$K$200,4,0))</f>
        <v>Drexler Matthias</v>
      </c>
      <c r="G44" s="206">
        <f>IF(ISBLANK($C44),"",VLOOKUP($C44,Teilnehmer!$B$4:$K$200,5,0))</f>
        <v>16648</v>
      </c>
      <c r="H44" s="192" t="str">
        <f>IF(ISBLANK($C44),"",VLOOKUP($C44,Teilnehmer!$B$4:$K$200,6,0))</f>
        <v>Rallyeteam Drexler</v>
      </c>
      <c r="I44" s="181" t="str">
        <f>IF(ISBLANK($C44),"",VLOOKUP($C44,Teilnehmer!$B$4:$K$200,7,0))</f>
        <v>Berger Daniel</v>
      </c>
      <c r="J44" s="206">
        <f>IF(ISBLANK($C44),"",VLOOKUP($C44,Teilnehmer!$B$4:$K$200,8,0))</f>
        <v>15100</v>
      </c>
      <c r="K44" s="192" t="str">
        <f>IF(ISBLANK($C44),"",VLOOKUP($C44,Teilnehmer!$B$4:$K$200,9,0))</f>
        <v>Rallyeteam Drexler</v>
      </c>
      <c r="L44" s="206" t="str">
        <f>IF(ISBLANK($C44),"",VLOOKUP($C44,Teilnehmer!$B$4:$K$200,10,0))</f>
        <v>VW Golf II</v>
      </c>
      <c r="M44" s="207">
        <f>IF(ISBLANK($C44),"",VLOOKUP($C44,'Ausgabe Zeiten'!M:AV,4,0))</f>
        <v>4.0223379629629741E-3</v>
      </c>
      <c r="N44" s="207">
        <f>IF(ISBLANK($C44),"",VLOOKUP($C44,'Ausgabe Zeiten'!M:AV,9,0))</f>
        <v>4.5358796296296466E-3</v>
      </c>
      <c r="O44" s="228">
        <f>IF(ISBLANK($C44),"",VLOOKUP($C44,'Ausgabe Zeiten'!M:AV,14,0))</f>
        <v>3.9408564814814584E-3</v>
      </c>
      <c r="P44" s="207">
        <f>IF(ISBLANK($C44),"",VLOOKUP($C44,'Ausgabe Zeiten'!M:AV,19,0))</f>
        <v>4.3768518518517707E-3</v>
      </c>
      <c r="Q44" s="207">
        <f>IF(ISBLANK($C44),"",VLOOKUP($C44,'Ausgabe Zeiten'!M:AV,24,0))</f>
        <v>3.9421296296295871E-3</v>
      </c>
      <c r="R44" s="207">
        <f>IF(ISBLANK($C44),"",VLOOKUP($C44,'Ausgabe Zeiten'!M:AV,29,0))</f>
        <v>0</v>
      </c>
      <c r="S44" s="207">
        <f>IF(ISBLANK($C44),"",VLOOKUP($C44,'Ausgabe Zeiten'!M:AV,35,0))</f>
        <v>3.4722222222222224E-4</v>
      </c>
      <c r="T44" s="207">
        <f>IF(ISBLANK($C44),"",VLOOKUP($C44,'Ausgabe Zeiten'!M:AV,36,0))</f>
        <v>2.1165277777777658E-2</v>
      </c>
      <c r="U44" s="208" t="str">
        <f t="shared" si="3"/>
        <v>ok</v>
      </c>
      <c r="V44" s="198" t="str">
        <f t="shared" si="2"/>
        <v>ok</v>
      </c>
      <c r="W44" s="208"/>
    </row>
    <row r="45" spans="2:23" s="197" customFormat="1" ht="27.75" customHeight="1">
      <c r="B45" s="234">
        <f t="shared" si="1"/>
        <v>39</v>
      </c>
      <c r="C45" s="233">
        <v>49</v>
      </c>
      <c r="D45" s="235">
        <f>IF(ISBLANK($C45),"",VLOOKUP($C45,Teilnehmer!$B$4:$K$200,2,0))</f>
        <v>2</v>
      </c>
      <c r="E45" s="235">
        <f>IF(ISBLANK($C45),"",VLOOKUP($C45,Teilnehmer!$B$4:$K$200,3,0))</f>
        <v>8</v>
      </c>
      <c r="F45" s="181" t="str">
        <f>IF(ISBLANK($C45),"",VLOOKUP($C45,Teilnehmer!$B$4:$K$200,4,0))</f>
        <v>Berger Axel</v>
      </c>
      <c r="G45" s="206" t="str">
        <f>IF(ISBLANK($C45),"",VLOOKUP($C45,Teilnehmer!$B$4:$K$200,5,0))</f>
        <v>-</v>
      </c>
      <c r="H45" s="192" t="str">
        <f>IF(ISBLANK($C45),"",VLOOKUP($C45,Teilnehmer!$B$4:$K$200,6,0))</f>
        <v>-</v>
      </c>
      <c r="I45" s="181" t="str">
        <f>IF(ISBLANK($C45),"",VLOOKUP($C45,Teilnehmer!$B$4:$K$200,7,0))</f>
        <v>Berger Marc</v>
      </c>
      <c r="J45" s="206" t="str">
        <f>IF(ISBLANK($C45),"",VLOOKUP($C45,Teilnehmer!$B$4:$K$200,8,0))</f>
        <v>-</v>
      </c>
      <c r="K45" s="192" t="str">
        <f>IF(ISBLANK($C45),"",VLOOKUP($C45,Teilnehmer!$B$4:$K$200,9,0))</f>
        <v>-</v>
      </c>
      <c r="L45" s="206" t="str">
        <f>IF(ISBLANK($C45),"",VLOOKUP($C45,Teilnehmer!$B$4:$K$200,10,0))</f>
        <v>Opel Corsa A</v>
      </c>
      <c r="M45" s="207">
        <f>IF(ISBLANK($C45),"",VLOOKUP($C45,'Ausgabe Zeiten'!M:AV,4,0))</f>
        <v>4.0225694444444016E-3</v>
      </c>
      <c r="N45" s="207" t="str">
        <f>IF(ISBLANK($C45),"",VLOOKUP($C45,'Ausgabe Zeiten'!M:AV,9,0))</f>
        <v>ADW</v>
      </c>
      <c r="O45" s="228" t="str">
        <f>IF(ISBLANK($C45),"",VLOOKUP($C45,'Ausgabe Zeiten'!M:AV,14,0))</f>
        <v>ADW</v>
      </c>
      <c r="P45" s="207" t="str">
        <f>IF(ISBLANK($C45),"",VLOOKUP($C45,'Ausgabe Zeiten'!M:AV,19,0))</f>
        <v>ADW</v>
      </c>
      <c r="Q45" s="207" t="str">
        <f>IF(ISBLANK($C45),"",VLOOKUP($C45,'Ausgabe Zeiten'!M:AV,24,0))</f>
        <v>ADW</v>
      </c>
      <c r="R45" s="207">
        <f>IF(ISBLANK($C45),"",VLOOKUP($C45,'Ausgabe Zeiten'!M:AV,29,0))</f>
        <v>0</v>
      </c>
      <c r="S45" s="207">
        <f>IF(ISBLANK($C45),"",VLOOKUP($C45,'Ausgabe Zeiten'!M:AV,35,0))</f>
        <v>0</v>
      </c>
      <c r="T45" s="207" t="str">
        <f>IF(ISBLANK($C45),"",VLOOKUP($C45,'Ausgabe Zeiten'!M:AV,36,0))</f>
        <v>ADW</v>
      </c>
      <c r="U45" s="208" t="e">
        <f t="shared" si="3"/>
        <v>#VALUE!</v>
      </c>
      <c r="V45" s="198" t="str">
        <f t="shared" si="2"/>
        <v>Sortierung A bis Z</v>
      </c>
      <c r="W45" s="208"/>
    </row>
    <row r="46" spans="2:23" s="197" customFormat="1" ht="27.75" customHeight="1">
      <c r="B46" s="234">
        <f t="shared" si="1"/>
        <v>40</v>
      </c>
      <c r="C46" s="233">
        <v>20</v>
      </c>
      <c r="D46" s="235">
        <f>IF(ISBLANK($C46),"",VLOOKUP($C46,Teilnehmer!$B$4:$K$200,2,0))</f>
        <v>2</v>
      </c>
      <c r="E46" s="235">
        <f>IF(ISBLANK($C46),"",VLOOKUP($C46,Teilnehmer!$B$4:$K$200,3,0))</f>
        <v>9</v>
      </c>
      <c r="F46" s="181" t="str">
        <f>IF(ISBLANK($C46),"",VLOOKUP($C46,Teilnehmer!$B$4:$K$200,4,0))</f>
        <v>Russ Armin</v>
      </c>
      <c r="G46" s="206">
        <f>IF(ISBLANK($C46),"",VLOOKUP($C46,Teilnehmer!$B$4:$K$200,5,0))</f>
        <v>15958</v>
      </c>
      <c r="H46" s="192" t="str">
        <f>IF(ISBLANK($C46),"",VLOOKUP($C46,Teilnehmer!$B$4:$K$200,6,0))</f>
        <v>MSC Untergröningen / MC Einsingen</v>
      </c>
      <c r="I46" s="181" t="str">
        <f>IF(ISBLANK($C46),"",VLOOKUP($C46,Teilnehmer!$B$4:$K$200,7,0))</f>
        <v>Hess Sarah</v>
      </c>
      <c r="J46" s="206">
        <f>IF(ISBLANK($C46),"",VLOOKUP($C46,Teilnehmer!$B$4:$K$200,8,0))</f>
        <v>16275</v>
      </c>
      <c r="K46" s="192" t="str">
        <f>IF(ISBLANK($C46),"",VLOOKUP($C46,Teilnehmer!$B$4:$K$200,9,0))</f>
        <v>-</v>
      </c>
      <c r="L46" s="206" t="str">
        <f>IF(ISBLANK($C46),"",VLOOKUP($C46,Teilnehmer!$B$4:$K$200,10,0))</f>
        <v>BMW E30 318is</v>
      </c>
      <c r="M46" s="207">
        <f>IF(ISBLANK($C46),"",VLOOKUP($C46,'Ausgabe Zeiten'!M:AV,4,0))</f>
        <v>4.0361111111111292E-3</v>
      </c>
      <c r="N46" s="207">
        <f>IF(ISBLANK($C46),"",VLOOKUP($C46,'Ausgabe Zeiten'!M:AV,9,0))</f>
        <v>4.5346064814815179E-3</v>
      </c>
      <c r="O46" s="228">
        <f>IF(ISBLANK($C46),"",VLOOKUP($C46,'Ausgabe Zeiten'!M:AV,14,0))</f>
        <v>3.9135416666665757E-3</v>
      </c>
      <c r="P46" s="207">
        <f>IF(ISBLANK($C46),"",VLOOKUP($C46,'Ausgabe Zeiten'!M:AV,19,0))</f>
        <v>4.3368055555554896E-3</v>
      </c>
      <c r="Q46" s="207">
        <f>IF(ISBLANK($C46),"",VLOOKUP($C46,'Ausgabe Zeiten'!M:AV,24,0))</f>
        <v>3.9406250000000309E-3</v>
      </c>
      <c r="R46" s="207">
        <f>IF(ISBLANK($C46),"",VLOOKUP($C46,'Ausgabe Zeiten'!M:AV,29,0))</f>
        <v>0</v>
      </c>
      <c r="S46" s="207">
        <f>IF(ISBLANK($C46),"",VLOOKUP($C46,'Ausgabe Zeiten'!M:AV,35,0))</f>
        <v>0</v>
      </c>
      <c r="T46" s="207">
        <f>IF(ISBLANK($C46),"",VLOOKUP($C46,'Ausgabe Zeiten'!M:AV,36,0))</f>
        <v>2.0761689814814743E-2</v>
      </c>
      <c r="U46" s="208" t="str">
        <f t="shared" si="3"/>
        <v>ok</v>
      </c>
      <c r="V46" s="198" t="str">
        <f t="shared" si="2"/>
        <v>ok</v>
      </c>
      <c r="W46" s="208"/>
    </row>
    <row r="47" spans="2:23" s="197" customFormat="1" ht="27.75" customHeight="1">
      <c r="B47" s="234">
        <f t="shared" si="1"/>
        <v>41</v>
      </c>
      <c r="C47" s="233">
        <v>46</v>
      </c>
      <c r="D47" s="235">
        <f>IF(ISBLANK($C47),"",VLOOKUP($C47,Teilnehmer!$B$4:$K$200,2,0))</f>
        <v>2</v>
      </c>
      <c r="E47" s="235">
        <f>IF(ISBLANK($C47),"",VLOOKUP($C47,Teilnehmer!$B$4:$K$200,3,0))</f>
        <v>8</v>
      </c>
      <c r="F47" s="181" t="str">
        <f>IF(ISBLANK($C47),"",VLOOKUP($C47,Teilnehmer!$B$4:$K$200,4,0))</f>
        <v>Gärtner Daniel</v>
      </c>
      <c r="G47" s="206">
        <f>IF(ISBLANK($C47),"",VLOOKUP($C47,Teilnehmer!$B$4:$K$200,5,0))</f>
        <v>15636</v>
      </c>
      <c r="H47" s="192" t="str">
        <f>IF(ISBLANK($C47),"",VLOOKUP($C47,Teilnehmer!$B$4:$K$200,6,0))</f>
        <v>B+G Rallyesport</v>
      </c>
      <c r="I47" s="181" t="str">
        <f>IF(ISBLANK($C47),"",VLOOKUP($C47,Teilnehmer!$B$4:$K$200,7,0))</f>
        <v>Gärtner Yvonne</v>
      </c>
      <c r="J47" s="206">
        <f>IF(ISBLANK($C47),"",VLOOKUP($C47,Teilnehmer!$B$4:$K$200,8,0))</f>
        <v>15637</v>
      </c>
      <c r="K47" s="192" t="str">
        <f>IF(ISBLANK($C47),"",VLOOKUP($C47,Teilnehmer!$B$4:$K$200,9,0))</f>
        <v>-</v>
      </c>
      <c r="L47" s="206" t="str">
        <f>IF(ISBLANK($C47),"",VLOOKUP($C47,Teilnehmer!$B$4:$K$200,10,0))</f>
        <v>VW Golf I</v>
      </c>
      <c r="M47" s="207">
        <f>IF(ISBLANK($C47),"",VLOOKUP($C47,'Ausgabe Zeiten'!M:AV,4,0))</f>
        <v>4.0618055555555754E-3</v>
      </c>
      <c r="N47" s="207">
        <f>IF(ISBLANK($C47),"",VLOOKUP($C47,'Ausgabe Zeiten'!M:AV,9,0))</f>
        <v>4.6363425925926016E-3</v>
      </c>
      <c r="O47" s="228">
        <f>IF(ISBLANK($C47),"",VLOOKUP($C47,'Ausgabe Zeiten'!M:AV,14,0))</f>
        <v>4.0432870370369356E-3</v>
      </c>
      <c r="P47" s="207">
        <f>IF(ISBLANK($C47),"",VLOOKUP($C47,'Ausgabe Zeiten'!M:AV,19,0))</f>
        <v>4.4336805555555969E-3</v>
      </c>
      <c r="Q47" s="207">
        <f>IF(ISBLANK($C47),"",VLOOKUP($C47,'Ausgabe Zeiten'!M:AV,24,0))</f>
        <v>3.9641203703703054E-3</v>
      </c>
      <c r="R47" s="207">
        <f>IF(ISBLANK($C47),"",VLOOKUP($C47,'Ausgabe Zeiten'!M:AV,29,0))</f>
        <v>0</v>
      </c>
      <c r="S47" s="207">
        <f>IF(ISBLANK($C47),"",VLOOKUP($C47,'Ausgabe Zeiten'!M:AV,35,0))</f>
        <v>0</v>
      </c>
      <c r="T47" s="207">
        <f>IF(ISBLANK($C47),"",VLOOKUP($C47,'Ausgabe Zeiten'!M:AV,36,0))</f>
        <v>2.1139236111111015E-2</v>
      </c>
      <c r="U47" s="208" t="str">
        <f t="shared" si="3"/>
        <v>ok</v>
      </c>
      <c r="V47" s="198" t="str">
        <f t="shared" si="2"/>
        <v>Sortierung A bis Z</v>
      </c>
      <c r="W47" s="208"/>
    </row>
    <row r="48" spans="2:23" s="197" customFormat="1" ht="27.75" customHeight="1">
      <c r="B48" s="234">
        <f t="shared" si="1"/>
        <v>42</v>
      </c>
      <c r="C48" s="233">
        <v>63</v>
      </c>
      <c r="D48" s="235">
        <f>IF(ISBLANK($C48),"",VLOOKUP($C48,Teilnehmer!$B$4:$K$200,2,0))</f>
        <v>1</v>
      </c>
      <c r="E48" s="235">
        <f>IF(ISBLANK($C48),"",VLOOKUP($C48,Teilnehmer!$B$4:$K$200,3,0))</f>
        <v>4</v>
      </c>
      <c r="F48" s="181" t="str">
        <f>IF(ISBLANK($C48),"",VLOOKUP($C48,Teilnehmer!$B$4:$K$200,4,0))</f>
        <v>Schachtner Johann</v>
      </c>
      <c r="G48" s="206">
        <f>IF(ISBLANK($C48),"",VLOOKUP($C48,Teilnehmer!$B$4:$K$200,5,0))</f>
        <v>12813</v>
      </c>
      <c r="H48" s="192" t="str">
        <f>IF(ISBLANK($C48),"",VLOOKUP($C48,Teilnehmer!$B$4:$K$200,6,0))</f>
        <v>MSC Emmersdorf</v>
      </c>
      <c r="I48" s="181" t="str">
        <f>IF(ISBLANK($C48),"",VLOOKUP($C48,Teilnehmer!$B$4:$K$200,7,0))</f>
        <v>Haller Melanie</v>
      </c>
      <c r="J48" s="206">
        <f>IF(ISBLANK($C48),"",VLOOKUP($C48,Teilnehmer!$B$4:$K$200,8,0))</f>
        <v>15542</v>
      </c>
      <c r="K48" s="192" t="str">
        <f>IF(ISBLANK($C48),"",VLOOKUP($C48,Teilnehmer!$B$4:$K$200,9,0))</f>
        <v>MSC Mamming / SCC Grünthal</v>
      </c>
      <c r="L48" s="206" t="str">
        <f>IF(ISBLANK($C48),"",VLOOKUP($C48,Teilnehmer!$B$4:$K$200,10,0))</f>
        <v>Mazda MX 5</v>
      </c>
      <c r="M48" s="207">
        <f>IF(ISBLANK($C48),"",VLOOKUP($C48,'Ausgabe Zeiten'!M:AV,4,0))</f>
        <v>4.0627314814815074E-3</v>
      </c>
      <c r="N48" s="207">
        <f>IF(ISBLANK($C48),"",VLOOKUP($C48,'Ausgabe Zeiten'!M:AV,9,0))</f>
        <v>4.6136574074073788E-3</v>
      </c>
      <c r="O48" s="228">
        <f>IF(ISBLANK($C48),"",VLOOKUP($C48,'Ausgabe Zeiten'!M:AV,14,0))</f>
        <v>3.980208333333346E-3</v>
      </c>
      <c r="P48" s="207">
        <f>IF(ISBLANK($C48),"",VLOOKUP($C48,'Ausgabe Zeiten'!M:AV,19,0))</f>
        <v>4.4839120370370189E-3</v>
      </c>
      <c r="Q48" s="207">
        <f>IF(ISBLANK($C48),"",VLOOKUP($C48,'Ausgabe Zeiten'!M:AV,24,0))</f>
        <v>3.9819444444445518E-3</v>
      </c>
      <c r="R48" s="207">
        <f>IF(ISBLANK($C48),"",VLOOKUP($C48,'Ausgabe Zeiten'!M:AV,29,0))</f>
        <v>0</v>
      </c>
      <c r="S48" s="207">
        <f>IF(ISBLANK($C48),"",VLOOKUP($C48,'Ausgabe Zeiten'!M:AV,35,0))</f>
        <v>0</v>
      </c>
      <c r="T48" s="207">
        <f>IF(ISBLANK($C48),"",VLOOKUP($C48,'Ausgabe Zeiten'!M:AV,36,0))</f>
        <v>2.1122453703703803E-2</v>
      </c>
      <c r="U48" s="208" t="str">
        <f t="shared" si="3"/>
        <v>ok</v>
      </c>
      <c r="V48" s="198" t="str">
        <f t="shared" si="2"/>
        <v>Sortierung A bis Z</v>
      </c>
      <c r="W48" s="208"/>
    </row>
    <row r="49" spans="2:23" s="197" customFormat="1" ht="27.75" customHeight="1">
      <c r="B49" s="234">
        <f t="shared" si="1"/>
        <v>43</v>
      </c>
      <c r="C49" s="233">
        <v>70</v>
      </c>
      <c r="D49" s="235">
        <f>IF(ISBLANK($C49),"",VLOOKUP($C49,Teilnehmer!$B$4:$K$200,2,0))</f>
        <v>1</v>
      </c>
      <c r="E49" s="235">
        <f>IF(ISBLANK($C49),"",VLOOKUP($C49,Teilnehmer!$B$4:$K$200,3,0))</f>
        <v>4</v>
      </c>
      <c r="F49" s="181" t="str">
        <f>IF(ISBLANK($C49),"",VLOOKUP($C49,Teilnehmer!$B$4:$K$200,4,0))</f>
        <v>Schuhmacher Helmut</v>
      </c>
      <c r="G49" s="206" t="str">
        <f>IF(ISBLANK($C49),"",VLOOKUP($C49,Teilnehmer!$B$4:$K$200,5,0))</f>
        <v>-</v>
      </c>
      <c r="H49" s="192" t="str">
        <f>IF(ISBLANK($C49),"",VLOOKUP($C49,Teilnehmer!$B$4:$K$200,6,0))</f>
        <v>ADAC OC Schwäbisch Hall</v>
      </c>
      <c r="I49" s="181" t="str">
        <f>IF(ISBLANK($C49),"",VLOOKUP($C49,Teilnehmer!$B$4:$K$200,7,0))</f>
        <v>Schuhmacher Marcel</v>
      </c>
      <c r="J49" s="206" t="str">
        <f>IF(ISBLANK($C49),"",VLOOKUP($C49,Teilnehmer!$B$4:$K$200,8,0))</f>
        <v>-</v>
      </c>
      <c r="K49" s="192" t="str">
        <f>IF(ISBLANK($C49),"",VLOOKUP($C49,Teilnehmer!$B$4:$K$200,9,0))</f>
        <v>ADAC OC Schwäbisch Hall</v>
      </c>
      <c r="L49" s="206" t="str">
        <f>IF(ISBLANK($C49),"",VLOOKUP($C49,Teilnehmer!$B$4:$K$200,10,0))</f>
        <v>BMW E36 318is</v>
      </c>
      <c r="M49" s="207">
        <f>IF(ISBLANK($C49),"",VLOOKUP($C49,'Ausgabe Zeiten'!M:AV,4,0))</f>
        <v>4.0711805555555536E-3</v>
      </c>
      <c r="N49" s="207">
        <f>IF(ISBLANK($C49),"",VLOOKUP($C49,'Ausgabe Zeiten'!M:AV,9,0))</f>
        <v>4.4800925925926327E-3</v>
      </c>
      <c r="O49" s="228">
        <f>IF(ISBLANK($C49),"",VLOOKUP($C49,'Ausgabe Zeiten'!M:AV,14,0))</f>
        <v>4.0173611111110619E-3</v>
      </c>
      <c r="P49" s="207">
        <f>IF(ISBLANK($C49),"",VLOOKUP($C49,'Ausgabe Zeiten'!M:AV,19,0))</f>
        <v>4.3922453703705289E-3</v>
      </c>
      <c r="Q49" s="207">
        <f>IF(ISBLANK($C49),"",VLOOKUP($C49,'Ausgabe Zeiten'!M:AV,24,0))</f>
        <v>4.0645833333333714E-3</v>
      </c>
      <c r="R49" s="207">
        <f>IF(ISBLANK($C49),"",VLOOKUP($C49,'Ausgabe Zeiten'!M:AV,29,0))</f>
        <v>0</v>
      </c>
      <c r="S49" s="207">
        <f>IF(ISBLANK($C49),"",VLOOKUP($C49,'Ausgabe Zeiten'!M:AV,35,0))</f>
        <v>0</v>
      </c>
      <c r="T49" s="207">
        <f>IF(ISBLANK($C49),"",VLOOKUP($C49,'Ausgabe Zeiten'!M:AV,36,0))</f>
        <v>2.1025462962963148E-2</v>
      </c>
      <c r="U49" s="208" t="str">
        <f t="shared" si="3"/>
        <v>ok</v>
      </c>
      <c r="V49" s="198" t="str">
        <f t="shared" si="2"/>
        <v>Sortierung A bis Z</v>
      </c>
      <c r="W49" s="208"/>
    </row>
    <row r="50" spans="2:23" s="197" customFormat="1" ht="27.75" customHeight="1">
      <c r="B50" s="234">
        <f t="shared" si="1"/>
        <v>44</v>
      </c>
      <c r="C50" s="233">
        <v>31</v>
      </c>
      <c r="D50" s="235">
        <f>IF(ISBLANK($C50),"",VLOOKUP($C50,Teilnehmer!$B$4:$K$200,2,0))</f>
        <v>2</v>
      </c>
      <c r="E50" s="235">
        <f>IF(ISBLANK($C50),"",VLOOKUP($C50,Teilnehmer!$B$4:$K$200,3,0))</f>
        <v>9</v>
      </c>
      <c r="F50" s="181" t="str">
        <f>IF(ISBLANK($C50),"",VLOOKUP($C50,Teilnehmer!$B$4:$K$200,4,0))</f>
        <v>Jäger Dirk</v>
      </c>
      <c r="G50" s="206" t="str">
        <f>IF(ISBLANK($C50),"",VLOOKUP($C50,Teilnehmer!$B$4:$K$200,5,0))</f>
        <v>-</v>
      </c>
      <c r="H50" s="192" t="str">
        <f>IF(ISBLANK($C50),"",VLOOKUP($C50,Teilnehmer!$B$4:$K$200,6,0))</f>
        <v>MSC Kitzbühel</v>
      </c>
      <c r="I50" s="181" t="str">
        <f>IF(ISBLANK($C50),"",VLOOKUP($C50,Teilnehmer!$B$4:$K$200,7,0))</f>
        <v>Hofmann Angela</v>
      </c>
      <c r="J50" s="206" t="str">
        <f>IF(ISBLANK($C50),"",VLOOKUP($C50,Teilnehmer!$B$4:$K$200,8,0))</f>
        <v>-</v>
      </c>
      <c r="K50" s="192" t="str">
        <f>IF(ISBLANK($C50),"",VLOOKUP($C50,Teilnehmer!$B$4:$K$200,9,0))</f>
        <v>-</v>
      </c>
      <c r="L50" s="206" t="str">
        <f>IF(ISBLANK($C50),"",VLOOKUP($C50,Teilnehmer!$B$4:$K$200,10,0))</f>
        <v>BMW 318is</v>
      </c>
      <c r="M50" s="207">
        <f>IF(ISBLANK($C50),"",VLOOKUP($C50,'Ausgabe Zeiten'!M:AV,4,0))</f>
        <v>4.0738425925925248E-3</v>
      </c>
      <c r="N50" s="207">
        <f>IF(ISBLANK($C50),"",VLOOKUP($C50,'Ausgabe Zeiten'!M:AV,9,0))</f>
        <v>4.4571759259259824E-3</v>
      </c>
      <c r="O50" s="228">
        <f>IF(ISBLANK($C50),"",VLOOKUP($C50,'Ausgabe Zeiten'!M:AV,14,0))</f>
        <v>3.8745370370371068E-3</v>
      </c>
      <c r="P50" s="207">
        <f>IF(ISBLANK($C50),"",VLOOKUP($C50,'Ausgabe Zeiten'!M:AV,19,0))</f>
        <v>4.3805555555554987E-3</v>
      </c>
      <c r="Q50" s="207">
        <f>IF(ISBLANK($C50),"",VLOOKUP($C50,'Ausgabe Zeiten'!M:AV,24,0))</f>
        <v>3.8059027777778143E-3</v>
      </c>
      <c r="R50" s="207">
        <f>IF(ISBLANK($C50),"",VLOOKUP($C50,'Ausgabe Zeiten'!M:AV,29,0))</f>
        <v>0</v>
      </c>
      <c r="S50" s="207">
        <f>IF(ISBLANK($C50),"",VLOOKUP($C50,'Ausgabe Zeiten'!M:AV,35,0))</f>
        <v>0</v>
      </c>
      <c r="T50" s="207">
        <f>IF(ISBLANK($C50),"",VLOOKUP($C50,'Ausgabe Zeiten'!M:AV,36,0))</f>
        <v>2.0592013888888927E-2</v>
      </c>
      <c r="U50" s="208" t="str">
        <f t="shared" si="3"/>
        <v>ok</v>
      </c>
      <c r="V50" s="198" t="str">
        <f t="shared" si="2"/>
        <v>ok</v>
      </c>
      <c r="W50" s="208"/>
    </row>
    <row r="51" spans="2:23" s="197" customFormat="1" ht="27.75" customHeight="1">
      <c r="B51" s="234">
        <f t="shared" si="1"/>
        <v>45</v>
      </c>
      <c r="C51" s="233">
        <v>37</v>
      </c>
      <c r="D51" s="235">
        <f>IF(ISBLANK($C51),"",VLOOKUP($C51,Teilnehmer!$B$4:$K$200,2,0))</f>
        <v>2</v>
      </c>
      <c r="E51" s="235">
        <f>IF(ISBLANK($C51),"",VLOOKUP($C51,Teilnehmer!$B$4:$K$200,3,0))</f>
        <v>9</v>
      </c>
      <c r="F51" s="181" t="str">
        <f>IF(ISBLANK($C51),"",VLOOKUP($C51,Teilnehmer!$B$4:$K$200,4,0))</f>
        <v>Kohl Bernd</v>
      </c>
      <c r="G51" s="206" t="str">
        <f>IF(ISBLANK($C51),"",VLOOKUP($C51,Teilnehmer!$B$4:$K$200,5,0))</f>
        <v>-</v>
      </c>
      <c r="H51" s="192" t="str">
        <f>IF(ISBLANK($C51),"",VLOOKUP($C51,Teilnehmer!$B$4:$K$200,6,0))</f>
        <v>ASC Wilhelmsfeld</v>
      </c>
      <c r="I51" s="181" t="str">
        <f>IF(ISBLANK($C51),"",VLOOKUP($C51,Teilnehmer!$B$4:$K$200,7,0))</f>
        <v>Oster Roland</v>
      </c>
      <c r="J51" s="206" t="str">
        <f>IF(ISBLANK($C51),"",VLOOKUP($C51,Teilnehmer!$B$4:$K$200,8,0))</f>
        <v>-</v>
      </c>
      <c r="K51" s="192" t="str">
        <f>IF(ISBLANK($C51),"",VLOOKUP($C51,Teilnehmer!$B$4:$K$200,9,0))</f>
        <v>ASC Wilhelmsfeld</v>
      </c>
      <c r="L51" s="206" t="str">
        <f>IF(ISBLANK($C51),"",VLOOKUP($C51,Teilnehmer!$B$4:$K$200,10,0))</f>
        <v>BMW E30 318 IS</v>
      </c>
      <c r="M51" s="207">
        <f>IF(ISBLANK($C51),"",VLOOKUP($C51,'Ausgabe Zeiten'!M:AV,4,0))</f>
        <v>4.0819444444444297E-3</v>
      </c>
      <c r="N51" s="207">
        <f>IF(ISBLANK($C51),"",VLOOKUP($C51,'Ausgabe Zeiten'!M:AV,9,0))</f>
        <v>4.6724537037037273E-3</v>
      </c>
      <c r="O51" s="228">
        <f>IF(ISBLANK($C51),"",VLOOKUP($C51,'Ausgabe Zeiten'!M:AV,14,0))</f>
        <v>4.0512731481481268E-3</v>
      </c>
      <c r="P51" s="207">
        <f>IF(ISBLANK($C51),"",VLOOKUP($C51,'Ausgabe Zeiten'!M:AV,19,0))</f>
        <v>4.5163194444444166E-3</v>
      </c>
      <c r="Q51" s="207">
        <f>IF(ISBLANK($C51),"",VLOOKUP($C51,'Ausgabe Zeiten'!M:AV,24,0))</f>
        <v>4.0853009259258499E-3</v>
      </c>
      <c r="R51" s="207">
        <f>IF(ISBLANK($C51),"",VLOOKUP($C51,'Ausgabe Zeiten'!M:AV,29,0))</f>
        <v>0</v>
      </c>
      <c r="S51" s="207">
        <f>IF(ISBLANK($C51),"",VLOOKUP($C51,'Ausgabe Zeiten'!M:AV,35,0))</f>
        <v>0</v>
      </c>
      <c r="T51" s="207">
        <f>IF(ISBLANK($C51),"",VLOOKUP($C51,'Ausgabe Zeiten'!M:AV,36,0))</f>
        <v>2.140729166666655E-2</v>
      </c>
      <c r="U51" s="208" t="str">
        <f t="shared" si="3"/>
        <v>ok</v>
      </c>
      <c r="V51" s="198" t="str">
        <f t="shared" si="2"/>
        <v>Sortierung A bis Z</v>
      </c>
      <c r="W51" s="208"/>
    </row>
    <row r="52" spans="2:23" s="197" customFormat="1" ht="27.75" customHeight="1">
      <c r="B52" s="234">
        <f t="shared" si="1"/>
        <v>46</v>
      </c>
      <c r="C52" s="233">
        <v>6</v>
      </c>
      <c r="D52" s="235">
        <f>IF(ISBLANK($C52),"",VLOOKUP($C52,Teilnehmer!$B$4:$K$200,2,0))</f>
        <v>3</v>
      </c>
      <c r="E52" s="235">
        <f>IF(ISBLANK($C52),"",VLOOKUP($C52,Teilnehmer!$B$4:$K$200,3,0))</f>
        <v>11</v>
      </c>
      <c r="F52" s="181" t="str">
        <f>IF(ISBLANK($C52),"",VLOOKUP($C52,Teilnehmer!$B$4:$K$200,4,0))</f>
        <v>Honke Reinhard</v>
      </c>
      <c r="G52" s="206" t="str">
        <f>IF(ISBLANK($C52),"",VLOOKUP($C52,Teilnehmer!$B$4:$K$200,5,0))</f>
        <v>-</v>
      </c>
      <c r="H52" s="192" t="str">
        <f>IF(ISBLANK($C52),"",VLOOKUP($C52,Teilnehmer!$B$4:$K$200,6,0))</f>
        <v>AC Bayreuth</v>
      </c>
      <c r="I52" s="181" t="str">
        <f>IF(ISBLANK($C52),"",VLOOKUP($C52,Teilnehmer!$B$4:$K$200,7,0))</f>
        <v>Heinze Michael</v>
      </c>
      <c r="J52" s="206" t="str">
        <f>IF(ISBLANK($C52),"",VLOOKUP($C52,Teilnehmer!$B$4:$K$200,8,0))</f>
        <v>-</v>
      </c>
      <c r="K52" s="192" t="str">
        <f>IF(ISBLANK($C52),"",VLOOKUP($C52,Teilnehmer!$B$4:$K$200,9,0))</f>
        <v>MSC Fränkische Schweiz</v>
      </c>
      <c r="L52" s="206" t="str">
        <f>IF(ISBLANK($C52),"",VLOOKUP($C52,Teilnehmer!$B$4:$K$200,10,0))</f>
        <v>Mitsubishi Lancer Evo 10</v>
      </c>
      <c r="M52" s="207">
        <f>IF(ISBLANK($C52),"",VLOOKUP($C52,'Ausgabe Zeiten'!M:AV,4,0))</f>
        <v>4.0997685185185095E-3</v>
      </c>
      <c r="N52" s="207">
        <f>IF(ISBLANK($C52),"",VLOOKUP($C52,'Ausgabe Zeiten'!M:AV,9,0))</f>
        <v>4.3004629629629365E-3</v>
      </c>
      <c r="O52" s="228">
        <f>IF(ISBLANK($C52),"",VLOOKUP($C52,'Ausgabe Zeiten'!M:AV,14,0))</f>
        <v>3.6371527777777635E-3</v>
      </c>
      <c r="P52" s="207">
        <f>IF(ISBLANK($C52),"",VLOOKUP($C52,'Ausgabe Zeiten'!M:AV,19,0))</f>
        <v>4.1289351851852008E-3</v>
      </c>
      <c r="Q52" s="207">
        <f>IF(ISBLANK($C52),"",VLOOKUP($C52,'Ausgabe Zeiten'!M:AV,24,0))</f>
        <v>3.5708333333333009E-3</v>
      </c>
      <c r="R52" s="207">
        <f>IF(ISBLANK($C52),"",VLOOKUP($C52,'Ausgabe Zeiten'!M:AV,29,0))</f>
        <v>0</v>
      </c>
      <c r="S52" s="207">
        <f>IF(ISBLANK($C52),"",VLOOKUP($C52,'Ausgabe Zeiten'!M:AV,35,0))</f>
        <v>3.4722222222222224E-4</v>
      </c>
      <c r="T52" s="207">
        <f>IF(ISBLANK($C52),"",VLOOKUP($C52,'Ausgabe Zeiten'!M:AV,36,0))</f>
        <v>2.0084374999999932E-2</v>
      </c>
      <c r="U52" s="208" t="str">
        <f t="shared" si="3"/>
        <v>ok</v>
      </c>
      <c r="V52" s="198" t="str">
        <f t="shared" si="2"/>
        <v>ok</v>
      </c>
      <c r="W52" s="208"/>
    </row>
    <row r="53" spans="2:23" s="197" customFormat="1" ht="27.75" customHeight="1">
      <c r="B53" s="234">
        <f t="shared" si="1"/>
        <v>47</v>
      </c>
      <c r="C53" s="233">
        <v>19</v>
      </c>
      <c r="D53" s="235">
        <f>IF(ISBLANK($C53),"",VLOOKUP($C53,Teilnehmer!$B$4:$K$200,2,0))</f>
        <v>2</v>
      </c>
      <c r="E53" s="235">
        <f>IF(ISBLANK($C53),"",VLOOKUP($C53,Teilnehmer!$B$4:$K$200,3,0))</f>
        <v>10</v>
      </c>
      <c r="F53" s="181" t="str">
        <f>IF(ISBLANK($C53),"",VLOOKUP($C53,Teilnehmer!$B$4:$K$200,4,0))</f>
        <v>Stangl Mathias</v>
      </c>
      <c r="G53" s="206">
        <f>IF(ISBLANK($C53),"",VLOOKUP($C53,Teilnehmer!$B$4:$K$200,5,0))</f>
        <v>16636</v>
      </c>
      <c r="H53" s="192" t="str">
        <f>IF(ISBLANK($C53),"",VLOOKUP($C53,Teilnehmer!$B$4:$K$200,6,0))</f>
        <v>-</v>
      </c>
      <c r="I53" s="181" t="str">
        <f>IF(ISBLANK($C53),"",VLOOKUP($C53,Teilnehmer!$B$4:$K$200,7,0))</f>
        <v>Stangl Michael</v>
      </c>
      <c r="J53" s="206">
        <f>IF(ISBLANK($C53),"",VLOOKUP($C53,Teilnehmer!$B$4:$K$200,8,0))</f>
        <v>16635</v>
      </c>
      <c r="K53" s="192" t="str">
        <f>IF(ISBLANK($C53),"",VLOOKUP($C53,Teilnehmer!$B$4:$K$200,9,0))</f>
        <v>-</v>
      </c>
      <c r="L53" s="206" t="str">
        <f>IF(ISBLANK($C53),"",VLOOKUP($C53,Teilnehmer!$B$4:$K$200,10,0))</f>
        <v>BMW 320I (e36)</v>
      </c>
      <c r="M53" s="207">
        <f>IF(ISBLANK($C53),"",VLOOKUP($C53,'Ausgabe Zeiten'!M:AV,4,0))</f>
        <v>4.1173611111111619E-3</v>
      </c>
      <c r="N53" s="207">
        <f>IF(ISBLANK($C53),"",VLOOKUP($C53,'Ausgabe Zeiten'!M:AV,9,0))</f>
        <v>4.7429398148147728E-3</v>
      </c>
      <c r="O53" s="228">
        <f>IF(ISBLANK($C53),"",VLOOKUP($C53,'Ausgabe Zeiten'!M:AV,14,0))</f>
        <v>4.0511574074073575E-3</v>
      </c>
      <c r="P53" s="207">
        <f>IF(ISBLANK($C53),"",VLOOKUP($C53,'Ausgabe Zeiten'!M:AV,19,0))</f>
        <v>1.0416666666666666E-2</v>
      </c>
      <c r="Q53" s="207">
        <f>IF(ISBLANK($C53),"",VLOOKUP($C53,'Ausgabe Zeiten'!M:AV,24,0))</f>
        <v>5.6190972222222024E-3</v>
      </c>
      <c r="R53" s="207">
        <f>IF(ISBLANK($C53),"",VLOOKUP($C53,'Ausgabe Zeiten'!M:AV,29,0))</f>
        <v>0</v>
      </c>
      <c r="S53" s="207">
        <f>IF(ISBLANK($C53),"",VLOOKUP($C53,'Ausgabe Zeiten'!M:AV,35,0))</f>
        <v>6.9444444444444447E-4</v>
      </c>
      <c r="T53" s="207">
        <f>IF(ISBLANK($C53),"",VLOOKUP($C53,'Ausgabe Zeiten'!M:AV,36,0))</f>
        <v>2.9641666666666604E-2</v>
      </c>
      <c r="U53" s="208" t="str">
        <f t="shared" si="3"/>
        <v>ok</v>
      </c>
      <c r="V53" s="198" t="str">
        <f t="shared" si="2"/>
        <v>Sortierung A bis Z</v>
      </c>
      <c r="W53" s="208"/>
    </row>
    <row r="54" spans="2:23" s="197" customFormat="1" ht="27.75" customHeight="1">
      <c r="B54" s="234">
        <f t="shared" si="1"/>
        <v>48</v>
      </c>
      <c r="C54" s="233">
        <v>16</v>
      </c>
      <c r="D54" s="235">
        <f>IF(ISBLANK($C54),"",VLOOKUP($C54,Teilnehmer!$B$4:$K$200,2,0))</f>
        <v>2</v>
      </c>
      <c r="E54" s="235">
        <f>IF(ISBLANK($C54),"",VLOOKUP($C54,Teilnehmer!$B$4:$K$200,3,0))</f>
        <v>10</v>
      </c>
      <c r="F54" s="181" t="str">
        <f>IF(ISBLANK($C54),"",VLOOKUP($C54,Teilnehmer!$B$4:$K$200,4,0))</f>
        <v>Schad Carsten</v>
      </c>
      <c r="G54" s="206" t="str">
        <f>IF(ISBLANK($C54),"",VLOOKUP($C54,Teilnehmer!$B$4:$K$200,5,0))</f>
        <v>-</v>
      </c>
      <c r="H54" s="192" t="str">
        <f>IF(ISBLANK($C54),"",VLOOKUP($C54,Teilnehmer!$B$4:$K$200,6,0))</f>
        <v>AMC Bad Königshofen</v>
      </c>
      <c r="I54" s="181" t="str">
        <f>IF(ISBLANK($C54),"",VLOOKUP($C54,Teilnehmer!$B$4:$K$200,7,0))</f>
        <v>Schad Alicia</v>
      </c>
      <c r="J54" s="206" t="str">
        <f>IF(ISBLANK($C54),"",VLOOKUP($C54,Teilnehmer!$B$4:$K$200,8,0))</f>
        <v>-</v>
      </c>
      <c r="K54" s="192" t="str">
        <f>IF(ISBLANK($C54),"",VLOOKUP($C54,Teilnehmer!$B$4:$K$200,9,0))</f>
        <v>AMC Bad Königshofen</v>
      </c>
      <c r="L54" s="206" t="str">
        <f>IF(ISBLANK($C54),"",VLOOKUP($C54,Teilnehmer!$B$4:$K$200,10,0))</f>
        <v>BMW M3 e36</v>
      </c>
      <c r="M54" s="207">
        <f>IF(ISBLANK($C54),"",VLOOKUP($C54,'Ausgabe Zeiten'!M:AV,4,0))</f>
        <v>4.1206018518518128E-3</v>
      </c>
      <c r="N54" s="207">
        <f>IF(ISBLANK($C54),"",VLOOKUP($C54,'Ausgabe Zeiten'!M:AV,9,0))</f>
        <v>5.0940972222222047E-3</v>
      </c>
      <c r="O54" s="228">
        <f>IF(ISBLANK($C54),"",VLOOKUP($C54,'Ausgabe Zeiten'!M:AV,14,0))</f>
        <v>3.9457175925925458E-3</v>
      </c>
      <c r="P54" s="207">
        <f>IF(ISBLANK($C54),"",VLOOKUP($C54,'Ausgabe Zeiten'!M:AV,19,0))</f>
        <v>4.6989583333333362E-3</v>
      </c>
      <c r="Q54" s="207">
        <f>IF(ISBLANK($C54),"",VLOOKUP($C54,'Ausgabe Zeiten'!M:AV,24,0))</f>
        <v>4.0012731481481323E-3</v>
      </c>
      <c r="R54" s="207">
        <f>IF(ISBLANK($C54),"",VLOOKUP($C54,'Ausgabe Zeiten'!M:AV,29,0))</f>
        <v>0</v>
      </c>
      <c r="S54" s="207">
        <f>IF(ISBLANK($C54),"",VLOOKUP($C54,'Ausgabe Zeiten'!M:AV,35,0))</f>
        <v>0</v>
      </c>
      <c r="T54" s="207">
        <f>IF(ISBLANK($C54),"",VLOOKUP($C54,'Ausgabe Zeiten'!M:AV,36,0))</f>
        <v>2.1860648148148032E-2</v>
      </c>
      <c r="U54" s="208" t="str">
        <f t="shared" si="3"/>
        <v>ok</v>
      </c>
      <c r="V54" s="198" t="str">
        <f t="shared" si="2"/>
        <v>Sortierung A bis Z</v>
      </c>
      <c r="W54" s="208"/>
    </row>
    <row r="55" spans="2:23" s="197" customFormat="1" ht="27.75" customHeight="1">
      <c r="B55" s="234">
        <f t="shared" si="1"/>
        <v>49</v>
      </c>
      <c r="C55" s="233">
        <v>32</v>
      </c>
      <c r="D55" s="235">
        <f>IF(ISBLANK($C55),"",VLOOKUP($C55,Teilnehmer!$B$4:$K$200,2,0))</f>
        <v>2</v>
      </c>
      <c r="E55" s="235">
        <f>IF(ISBLANK($C55),"",VLOOKUP($C55,Teilnehmer!$B$4:$K$200,3,0))</f>
        <v>9</v>
      </c>
      <c r="F55" s="181" t="str">
        <f>IF(ISBLANK($C55),"",VLOOKUP($C55,Teilnehmer!$B$4:$K$200,4,0))</f>
        <v>Litzius Kurt</v>
      </c>
      <c r="G55" s="206">
        <f>IF(ISBLANK($C55),"",VLOOKUP($C55,Teilnehmer!$B$4:$K$200,5,0))</f>
        <v>8177</v>
      </c>
      <c r="H55" s="192" t="str">
        <f>IF(ISBLANK($C55),"",VLOOKUP($C55,Teilnehmer!$B$4:$K$200,6,0))</f>
        <v>-</v>
      </c>
      <c r="I55" s="181" t="str">
        <f>IF(ISBLANK($C55),"",VLOOKUP($C55,Teilnehmer!$B$4:$K$200,7,0))</f>
        <v>Litzius Mandy</v>
      </c>
      <c r="J55" s="206">
        <f>IF(ISBLANK($C55),"",VLOOKUP($C55,Teilnehmer!$B$4:$K$200,8,0))</f>
        <v>14447</v>
      </c>
      <c r="K55" s="192" t="str">
        <f>IF(ISBLANK($C55),"",VLOOKUP($C55,Teilnehmer!$B$4:$K$200,9,0))</f>
        <v>MSC Mamming / AMC Arzbach</v>
      </c>
      <c r="L55" s="206" t="str">
        <f>IF(ISBLANK($C55),"",VLOOKUP($C55,Teilnehmer!$B$4:$K$200,10,0))</f>
        <v>Opel Kadett C Coupé</v>
      </c>
      <c r="M55" s="207">
        <f>IF(ISBLANK($C55),"",VLOOKUP($C55,'Ausgabe Zeiten'!M:AV,4,0))</f>
        <v>4.132754629629587E-3</v>
      </c>
      <c r="N55" s="207">
        <f>IF(ISBLANK($C55),"",VLOOKUP($C55,'Ausgabe Zeiten'!M:AV,9,0))</f>
        <v>4.776967592592718E-3</v>
      </c>
      <c r="O55" s="228">
        <f>IF(ISBLANK($C55),"",VLOOKUP($C55,'Ausgabe Zeiten'!M:AV,14,0))</f>
        <v>3.9892361111111274E-3</v>
      </c>
      <c r="P55" s="207">
        <f>IF(ISBLANK($C55),"",VLOOKUP($C55,'Ausgabe Zeiten'!M:AV,19,0))</f>
        <v>4.6037037037037765E-3</v>
      </c>
      <c r="Q55" s="207">
        <f>IF(ISBLANK($C55),"",VLOOKUP($C55,'Ausgabe Zeiten'!M:AV,24,0))</f>
        <v>3.8699074074074469E-3</v>
      </c>
      <c r="R55" s="207">
        <f>IF(ISBLANK($C55),"",VLOOKUP($C55,'Ausgabe Zeiten'!M:AV,29,0))</f>
        <v>0</v>
      </c>
      <c r="S55" s="207">
        <f>IF(ISBLANK($C55),"",VLOOKUP($C55,'Ausgabe Zeiten'!M:AV,35,0))</f>
        <v>0</v>
      </c>
      <c r="T55" s="207">
        <f>IF(ISBLANK($C55),"",VLOOKUP($C55,'Ausgabe Zeiten'!M:AV,36,0))</f>
        <v>2.1372569444444656E-2</v>
      </c>
      <c r="U55" s="208" t="str">
        <f t="shared" si="3"/>
        <v>ok</v>
      </c>
      <c r="V55" s="198" t="str">
        <f t="shared" ref="V55:V64" si="4">IF(ISBLANK($C55),"",IF(T56&gt;T55,"ok","Sortierung A bis Z"))</f>
        <v>ok</v>
      </c>
      <c r="W55" s="208"/>
    </row>
    <row r="56" spans="2:23" s="197" customFormat="1" ht="27.75" customHeight="1">
      <c r="B56" s="234">
        <f t="shared" si="1"/>
        <v>50</v>
      </c>
      <c r="C56" s="233">
        <v>27</v>
      </c>
      <c r="D56" s="235">
        <f>IF(ISBLANK($C56),"",VLOOKUP($C56,Teilnehmer!$B$4:$K$200,2,0))</f>
        <v>2</v>
      </c>
      <c r="E56" s="235">
        <f>IF(ISBLANK($C56),"",VLOOKUP($C56,Teilnehmer!$B$4:$K$200,3,0))</f>
        <v>9</v>
      </c>
      <c r="F56" s="181" t="str">
        <f>IF(ISBLANK($C56),"",VLOOKUP($C56,Teilnehmer!$B$4:$K$200,4,0))</f>
        <v>Kögl Hans</v>
      </c>
      <c r="G56" s="206" t="str">
        <f>IF(ISBLANK($C56),"",VLOOKUP($C56,Teilnehmer!$B$4:$K$200,5,0))</f>
        <v>-</v>
      </c>
      <c r="H56" s="192" t="str">
        <f>IF(ISBLANK($C56),"",VLOOKUP($C56,Teilnehmer!$B$4:$K$200,6,0))</f>
        <v>MSF Freising</v>
      </c>
      <c r="I56" s="181" t="str">
        <f>IF(ISBLANK($C56),"",VLOOKUP($C56,Teilnehmer!$B$4:$K$200,7,0))</f>
        <v>Schwaiger Thomas</v>
      </c>
      <c r="J56" s="206" t="str">
        <f>IF(ISBLANK($C56),"",VLOOKUP($C56,Teilnehmer!$B$4:$K$200,8,0))</f>
        <v>-</v>
      </c>
      <c r="K56" s="192" t="str">
        <f>IF(ISBLANK($C56),"",VLOOKUP($C56,Teilnehmer!$B$4:$K$200,9,0))</f>
        <v>MSF Freising</v>
      </c>
      <c r="L56" s="206" t="str">
        <f>IF(ISBLANK($C56),"",VLOOKUP($C56,Teilnehmer!$B$4:$K$200,10,0))</f>
        <v>Opel Kadett E GSI</v>
      </c>
      <c r="M56" s="207">
        <f>IF(ISBLANK($C56),"",VLOOKUP($C56,'Ausgabe Zeiten'!M:AV,4,0))</f>
        <v>4.1552083333333267E-3</v>
      </c>
      <c r="N56" s="207">
        <f>IF(ISBLANK($C56),"",VLOOKUP($C56,'Ausgabe Zeiten'!M:AV,9,0))</f>
        <v>4.9431712962962893E-3</v>
      </c>
      <c r="O56" s="228" t="str">
        <f>IF(ISBLANK($C56),"",VLOOKUP($C56,'Ausgabe Zeiten'!M:AV,14,0))</f>
        <v>ADW</v>
      </c>
      <c r="P56" s="207" t="str">
        <f>IF(ISBLANK($C56),"",VLOOKUP($C56,'Ausgabe Zeiten'!M:AV,19,0))</f>
        <v>ADW</v>
      </c>
      <c r="Q56" s="207" t="str">
        <f>IF(ISBLANK($C56),"",VLOOKUP($C56,'Ausgabe Zeiten'!M:AV,24,0))</f>
        <v>ADW</v>
      </c>
      <c r="R56" s="207">
        <f>IF(ISBLANK($C56),"",VLOOKUP($C56,'Ausgabe Zeiten'!M:AV,29,0))</f>
        <v>0</v>
      </c>
      <c r="S56" s="207">
        <f>IF(ISBLANK($C56),"",VLOOKUP($C56,'Ausgabe Zeiten'!M:AV,35,0))</f>
        <v>0</v>
      </c>
      <c r="T56" s="207" t="str">
        <f>IF(ISBLANK($C56),"",VLOOKUP($C56,'Ausgabe Zeiten'!M:AV,36,0))</f>
        <v>ADW</v>
      </c>
      <c r="U56" s="208" t="e">
        <f t="shared" si="3"/>
        <v>#VALUE!</v>
      </c>
      <c r="V56" s="198" t="str">
        <f t="shared" si="4"/>
        <v>Sortierung A bis Z</v>
      </c>
      <c r="W56" s="208"/>
    </row>
    <row r="57" spans="2:23" s="197" customFormat="1" ht="27.75" customHeight="1">
      <c r="B57" s="234">
        <f t="shared" si="1"/>
        <v>51</v>
      </c>
      <c r="C57" s="233">
        <v>65</v>
      </c>
      <c r="D57" s="235">
        <f>IF(ISBLANK($C57),"",VLOOKUP($C57,Teilnehmer!$B$4:$K$200,2,0))</f>
        <v>1</v>
      </c>
      <c r="E57" s="235">
        <f>IF(ISBLANK($C57),"",VLOOKUP($C57,Teilnehmer!$B$4:$K$200,3,0))</f>
        <v>4</v>
      </c>
      <c r="F57" s="181" t="str">
        <f>IF(ISBLANK($C57),"",VLOOKUP($C57,Teilnehmer!$B$4:$K$200,4,0))</f>
        <v>Meier Georg</v>
      </c>
      <c r="G57" s="206">
        <f>IF(ISBLANK($C57),"",VLOOKUP($C57,Teilnehmer!$B$4:$K$200,5,0))</f>
        <v>16425</v>
      </c>
      <c r="H57" s="192" t="str">
        <f>IF(ISBLANK($C57),"",VLOOKUP($C57,Teilnehmer!$B$4:$K$200,6,0))</f>
        <v>SWF Weidwies</v>
      </c>
      <c r="I57" s="181" t="str">
        <f>IF(ISBLANK($C57),"",VLOOKUP($C57,Teilnehmer!$B$4:$K$200,7,0))</f>
        <v>Eder Markus</v>
      </c>
      <c r="J57" s="206">
        <f>IF(ISBLANK($C57),"",VLOOKUP($C57,Teilnehmer!$B$4:$K$200,8,0))</f>
        <v>16426</v>
      </c>
      <c r="K57" s="192" t="str">
        <f>IF(ISBLANK($C57),"",VLOOKUP($C57,Teilnehmer!$B$4:$K$200,9,0))</f>
        <v>SWF Weidwies</v>
      </c>
      <c r="L57" s="206" t="str">
        <f>IF(ISBLANK($C57),"",VLOOKUP($C57,Teilnehmer!$B$4:$K$200,10,0))</f>
        <v>BMW 318ti</v>
      </c>
      <c r="M57" s="207">
        <f>IF(ISBLANK($C57),"",VLOOKUP($C57,'Ausgabe Zeiten'!M:AV,4,0))</f>
        <v>4.1968749999999888E-3</v>
      </c>
      <c r="N57" s="207">
        <f>IF(ISBLANK($C57),"",VLOOKUP($C57,'Ausgabe Zeiten'!M:AV,9,0))</f>
        <v>4.5283564814815325E-3</v>
      </c>
      <c r="O57" s="228">
        <f>IF(ISBLANK($C57),"",VLOOKUP($C57,'Ausgabe Zeiten'!M:AV,14,0))</f>
        <v>4.0747685185185123E-3</v>
      </c>
      <c r="P57" s="207">
        <f>IF(ISBLANK($C57),"",VLOOKUP($C57,'Ausgabe Zeiten'!M:AV,19,0))</f>
        <v>4.3185185185186103E-3</v>
      </c>
      <c r="Q57" s="207">
        <f>IF(ISBLANK($C57),"",VLOOKUP($C57,'Ausgabe Zeiten'!M:AV,24,0))</f>
        <v>4.054166666666692E-3</v>
      </c>
      <c r="R57" s="207">
        <f>IF(ISBLANK($C57),"",VLOOKUP($C57,'Ausgabe Zeiten'!M:AV,29,0))</f>
        <v>0</v>
      </c>
      <c r="S57" s="207">
        <f>IF(ISBLANK($C57),"",VLOOKUP($C57,'Ausgabe Zeiten'!M:AV,35,0))</f>
        <v>0</v>
      </c>
      <c r="T57" s="207">
        <f>IF(ISBLANK($C57),"",VLOOKUP($C57,'Ausgabe Zeiten'!M:AV,36,0))</f>
        <v>2.1172685185185336E-2</v>
      </c>
      <c r="U57" s="208" t="str">
        <f t="shared" si="3"/>
        <v>ok</v>
      </c>
      <c r="V57" s="198" t="str">
        <f t="shared" si="4"/>
        <v>ok</v>
      </c>
      <c r="W57" s="208"/>
    </row>
    <row r="58" spans="2:23" s="197" customFormat="1" ht="27.75" customHeight="1">
      <c r="B58" s="234">
        <f t="shared" si="1"/>
        <v>52</v>
      </c>
      <c r="C58" s="233">
        <v>69</v>
      </c>
      <c r="D58" s="235">
        <f>IF(ISBLANK($C58),"",VLOOKUP($C58,Teilnehmer!$B$4:$K$200,2,0))</f>
        <v>1</v>
      </c>
      <c r="E58" s="235">
        <f>IF(ISBLANK($C58),"",VLOOKUP($C58,Teilnehmer!$B$4:$K$200,3,0))</f>
        <v>4</v>
      </c>
      <c r="F58" s="181" t="str">
        <f>IF(ISBLANK($C58),"",VLOOKUP($C58,Teilnehmer!$B$4:$K$200,4,0))</f>
        <v>Heider Daniel</v>
      </c>
      <c r="G58" s="206" t="str">
        <f>IF(ISBLANK($C58),"",VLOOKUP($C58,Teilnehmer!$B$4:$K$200,5,0))</f>
        <v>-</v>
      </c>
      <c r="H58" s="192" t="str">
        <f>IF(ISBLANK($C58),"",VLOOKUP($C58,Teilnehmer!$B$4:$K$200,6,0))</f>
        <v>AC Gunzenhausen</v>
      </c>
      <c r="I58" s="181" t="str">
        <f>IF(ISBLANK($C58),"",VLOOKUP($C58,Teilnehmer!$B$4:$K$200,7,0))</f>
        <v>Heider Michael</v>
      </c>
      <c r="J58" s="206" t="str">
        <f>IF(ISBLANK($C58),"",VLOOKUP($C58,Teilnehmer!$B$4:$K$200,8,0))</f>
        <v>-</v>
      </c>
      <c r="K58" s="192" t="str">
        <f>IF(ISBLANK($C58),"",VLOOKUP($C58,Teilnehmer!$B$4:$K$200,9,0))</f>
        <v>AC Gunzenhausen</v>
      </c>
      <c r="L58" s="206" t="str">
        <f>IF(ISBLANK($C58),"",VLOOKUP($C58,Teilnehmer!$B$4:$K$200,10,0))</f>
        <v>VW Golf 2</v>
      </c>
      <c r="M58" s="207">
        <f>IF(ISBLANK($C58),"",VLOOKUP($C58,'Ausgabe Zeiten'!M:AV,4,0))</f>
        <v>4.2003472222222893E-3</v>
      </c>
      <c r="N58" s="207">
        <f>IF(ISBLANK($C58),"",VLOOKUP($C58,'Ausgabe Zeiten'!M:AV,9,0))</f>
        <v>4.6428240740741256E-3</v>
      </c>
      <c r="O58" s="228">
        <f>IF(ISBLANK($C58),"",VLOOKUP($C58,'Ausgabe Zeiten'!M:AV,14,0))</f>
        <v>4.0810185185184977E-3</v>
      </c>
      <c r="P58" s="207">
        <f>IF(ISBLANK($C58),"",VLOOKUP($C58,'Ausgabe Zeiten'!M:AV,19,0))</f>
        <v>4.4922453703704068E-3</v>
      </c>
      <c r="Q58" s="207" t="str">
        <f>IF(ISBLANK($C58),"",VLOOKUP($C58,'Ausgabe Zeiten'!M:AV,24,0))</f>
        <v>ADW</v>
      </c>
      <c r="R58" s="207">
        <f>IF(ISBLANK($C58),"",VLOOKUP($C58,'Ausgabe Zeiten'!M:AV,29,0))</f>
        <v>0</v>
      </c>
      <c r="S58" s="207">
        <f>IF(ISBLANK($C58),"",VLOOKUP($C58,'Ausgabe Zeiten'!M:AV,35,0))</f>
        <v>0</v>
      </c>
      <c r="T58" s="207" t="str">
        <f>IF(ISBLANK($C58),"",VLOOKUP($C58,'Ausgabe Zeiten'!M:AV,36,0))</f>
        <v>ADW</v>
      </c>
      <c r="U58" s="208" t="e">
        <f t="shared" si="3"/>
        <v>#VALUE!</v>
      </c>
      <c r="V58" s="198" t="str">
        <f t="shared" si="4"/>
        <v>Sortierung A bis Z</v>
      </c>
      <c r="W58" s="208"/>
    </row>
    <row r="59" spans="2:23" s="197" customFormat="1" ht="27.75" customHeight="1">
      <c r="B59" s="234">
        <f t="shared" si="1"/>
        <v>53</v>
      </c>
      <c r="C59" s="233">
        <v>62</v>
      </c>
      <c r="D59" s="235">
        <f>IF(ISBLANK($C59),"",VLOOKUP($C59,Teilnehmer!$B$4:$K$200,2,0))</f>
        <v>1</v>
      </c>
      <c r="E59" s="235">
        <f>IF(ISBLANK($C59),"",VLOOKUP($C59,Teilnehmer!$B$4:$K$200,3,0))</f>
        <v>4</v>
      </c>
      <c r="F59" s="181" t="str">
        <f>IF(ISBLANK($C59),"",VLOOKUP($C59,Teilnehmer!$B$4:$K$200,4,0))</f>
        <v>Neumaier Martin</v>
      </c>
      <c r="G59" s="206">
        <f>IF(ISBLANK($C59),"",VLOOKUP($C59,Teilnehmer!$B$4:$K$200,5,0))</f>
        <v>16132</v>
      </c>
      <c r="H59" s="192" t="str">
        <f>IF(ISBLANK($C59),"",VLOOKUP($C59,Teilnehmer!$B$4:$K$200,6,0))</f>
        <v>MSC Mamming</v>
      </c>
      <c r="I59" s="181" t="str">
        <f>IF(ISBLANK($C59),"",VLOOKUP($C59,Teilnehmer!$B$4:$K$200,7,0))</f>
        <v>Neumaier Martina</v>
      </c>
      <c r="J59" s="206">
        <f>IF(ISBLANK($C59),"",VLOOKUP($C59,Teilnehmer!$B$4:$K$200,8,0))</f>
        <v>16297</v>
      </c>
      <c r="K59" s="192" t="str">
        <f>IF(ISBLANK($C59),"",VLOOKUP($C59,Teilnehmer!$B$4:$K$200,9,0))</f>
        <v>MSC Mamming</v>
      </c>
      <c r="L59" s="206" t="str">
        <f>IF(ISBLANK($C59),"",VLOOKUP($C59,Teilnehmer!$B$4:$K$200,10,0))</f>
        <v>VW Golf II 16V</v>
      </c>
      <c r="M59" s="207">
        <f>IF(ISBLANK($C59),"",VLOOKUP($C59,'Ausgabe Zeiten'!M:AV,4,0))</f>
        <v>4.2114583333332511E-3</v>
      </c>
      <c r="N59" s="207">
        <f>IF(ISBLANK($C59),"",VLOOKUP($C59,'Ausgabe Zeiten'!M:AV,9,0))</f>
        <v>4.4986111111111615E-3</v>
      </c>
      <c r="O59" s="228">
        <f>IF(ISBLANK($C59),"",VLOOKUP($C59,'Ausgabe Zeiten'!M:AV,14,0))</f>
        <v>4.1280092592593798E-3</v>
      </c>
      <c r="P59" s="207">
        <f>IF(ISBLANK($C59),"",VLOOKUP($C59,'Ausgabe Zeiten'!M:AV,19,0))</f>
        <v>4.351388888888863E-3</v>
      </c>
      <c r="Q59" s="207">
        <f>IF(ISBLANK($C59),"",VLOOKUP($C59,'Ausgabe Zeiten'!M:AV,24,0))</f>
        <v>4.1259259259258663E-3</v>
      </c>
      <c r="R59" s="207">
        <f>IF(ISBLANK($C59),"",VLOOKUP($C59,'Ausgabe Zeiten'!M:AV,29,0))</f>
        <v>0</v>
      </c>
      <c r="S59" s="207">
        <f>IF(ISBLANK($C59),"",VLOOKUP($C59,'Ausgabe Zeiten'!M:AV,35,0))</f>
        <v>0</v>
      </c>
      <c r="T59" s="207">
        <f>IF(ISBLANK($C59),"",VLOOKUP($C59,'Ausgabe Zeiten'!M:AV,36,0))</f>
        <v>2.1315393518518522E-2</v>
      </c>
      <c r="U59" s="208" t="str">
        <f t="shared" si="3"/>
        <v>ok</v>
      </c>
      <c r="V59" s="198" t="str">
        <f t="shared" si="4"/>
        <v>ok</v>
      </c>
      <c r="W59" s="208"/>
    </row>
    <row r="60" spans="2:23" s="197" customFormat="1" ht="27.75" customHeight="1">
      <c r="B60" s="234">
        <f t="shared" si="1"/>
        <v>54</v>
      </c>
      <c r="C60" s="233">
        <v>66</v>
      </c>
      <c r="D60" s="235">
        <f>IF(ISBLANK($C60),"",VLOOKUP($C60,Teilnehmer!$B$4:$K$200,2,0))</f>
        <v>1</v>
      </c>
      <c r="E60" s="235">
        <f>IF(ISBLANK($C60),"",VLOOKUP($C60,Teilnehmer!$B$4:$K$200,3,0))</f>
        <v>4</v>
      </c>
      <c r="F60" s="181" t="str">
        <f>IF(ISBLANK($C60),"",VLOOKUP($C60,Teilnehmer!$B$4:$K$200,4,0))</f>
        <v>Oberneder Josef</v>
      </c>
      <c r="G60" s="206">
        <f>IF(ISBLANK($C60),"",VLOOKUP($C60,Teilnehmer!$B$4:$K$200,5,0))</f>
        <v>14172</v>
      </c>
      <c r="H60" s="192" t="str">
        <f>IF(ISBLANK($C60),"",VLOOKUP($C60,Teilnehmer!$B$4:$K$200,6,0))</f>
        <v>SWF Weidwies</v>
      </c>
      <c r="I60" s="181" t="str">
        <f>IF(ISBLANK($C60),"",VLOOKUP($C60,Teilnehmer!$B$4:$K$200,7,0))</f>
        <v>Krenn Christina</v>
      </c>
      <c r="J60" s="206">
        <f>IF(ISBLANK($C60),"",VLOOKUP($C60,Teilnehmer!$B$4:$K$200,8,0))</f>
        <v>14748</v>
      </c>
      <c r="K60" s="192" t="str">
        <f>IF(ISBLANK($C60),"",VLOOKUP($C60,Teilnehmer!$B$4:$K$200,9,0))</f>
        <v>SWF Weidwies</v>
      </c>
      <c r="L60" s="206" t="str">
        <f>IF(ISBLANK($C60),"",VLOOKUP($C60,Teilnehmer!$B$4:$K$200,10,0))</f>
        <v>VW Golf 2</v>
      </c>
      <c r="M60" s="207">
        <f>IF(ISBLANK($C60),"",VLOOKUP($C60,'Ausgabe Zeiten'!M:AV,4,0))</f>
        <v>4.2449074074074611E-3</v>
      </c>
      <c r="N60" s="207">
        <f>IF(ISBLANK($C60),"",VLOOKUP($C60,'Ausgabe Zeiten'!M:AV,9,0))</f>
        <v>4.6028935185185027E-3</v>
      </c>
      <c r="O60" s="228">
        <f>IF(ISBLANK($C60),"",VLOOKUP($C60,'Ausgabe Zeiten'!M:AV,14,0))</f>
        <v>4.2049768518518382E-3</v>
      </c>
      <c r="P60" s="207">
        <f>IF(ISBLANK($C60),"",VLOOKUP($C60,'Ausgabe Zeiten'!M:AV,19,0))</f>
        <v>4.4791666666667007E-3</v>
      </c>
      <c r="Q60" s="207">
        <f>IF(ISBLANK($C60),"",VLOOKUP($C60,'Ausgabe Zeiten'!M:AV,24,0))</f>
        <v>4.0946759259258281E-3</v>
      </c>
      <c r="R60" s="207">
        <f>IF(ISBLANK($C60),"",VLOOKUP($C60,'Ausgabe Zeiten'!M:AV,29,0))</f>
        <v>0</v>
      </c>
      <c r="S60" s="207">
        <f>IF(ISBLANK($C60),"",VLOOKUP($C60,'Ausgabe Zeiten'!M:AV,35,0))</f>
        <v>0</v>
      </c>
      <c r="T60" s="207">
        <f>IF(ISBLANK($C60),"",VLOOKUP($C60,'Ausgabe Zeiten'!M:AV,36,0))</f>
        <v>2.1626620370370331E-2</v>
      </c>
      <c r="U60" s="208" t="str">
        <f t="shared" si="3"/>
        <v>ok</v>
      </c>
      <c r="V60" s="198" t="str">
        <f t="shared" si="4"/>
        <v>ok</v>
      </c>
      <c r="W60" s="208"/>
    </row>
    <row r="61" spans="2:23" s="197" customFormat="1" ht="27.75" customHeight="1">
      <c r="B61" s="234">
        <f t="shared" si="1"/>
        <v>55</v>
      </c>
      <c r="C61" s="233">
        <v>61</v>
      </c>
      <c r="D61" s="235">
        <f>IF(ISBLANK($C61),"",VLOOKUP($C61,Teilnehmer!$B$4:$K$200,2,0))</f>
        <v>1</v>
      </c>
      <c r="E61" s="235">
        <f>IF(ISBLANK($C61),"",VLOOKUP($C61,Teilnehmer!$B$4:$K$200,3,0))</f>
        <v>4</v>
      </c>
      <c r="F61" s="181" t="str">
        <f>IF(ISBLANK($C61),"",VLOOKUP($C61,Teilnehmer!$B$4:$K$200,4,0))</f>
        <v>Schulze Enrico</v>
      </c>
      <c r="G61" s="206">
        <f>IF(ISBLANK($C61),"",VLOOKUP($C61,Teilnehmer!$B$4:$K$200,5,0))</f>
        <v>15209</v>
      </c>
      <c r="H61" s="192" t="str">
        <f>IF(ISBLANK($C61),"",VLOOKUP($C61,Teilnehmer!$B$4:$K$200,6,0))</f>
        <v>Boxenstop Regensburg</v>
      </c>
      <c r="I61" s="181" t="str">
        <f>IF(ISBLANK($C61),"",VLOOKUP($C61,Teilnehmer!$B$4:$K$200,7,0))</f>
        <v>Lockstet Sebastian</v>
      </c>
      <c r="J61" s="206">
        <f>IF(ISBLANK($C61),"",VLOOKUP($C61,Teilnehmer!$B$4:$K$200,8,0))</f>
        <v>14869</v>
      </c>
      <c r="K61" s="192" t="str">
        <f>IF(ISBLANK($C61),"",VLOOKUP($C61,Teilnehmer!$B$4:$K$200,9,0))</f>
        <v>VEB Konsum Genossenschaft Mücheln</v>
      </c>
      <c r="L61" s="206" t="str">
        <f>IF(ISBLANK($C61),"",VLOOKUP($C61,Teilnehmer!$B$4:$K$200,10,0))</f>
        <v>Subaru Impreza</v>
      </c>
      <c r="M61" s="207">
        <f>IF(ISBLANK($C61),"",VLOOKUP($C61,'Ausgabe Zeiten'!M:AV,4,0))</f>
        <v>4.2524305555555753E-3</v>
      </c>
      <c r="N61" s="207">
        <f>IF(ISBLANK($C61),"",VLOOKUP($C61,'Ausgabe Zeiten'!M:AV,9,0))</f>
        <v>4.6964120370370788E-3</v>
      </c>
      <c r="O61" s="228">
        <f>IF(ISBLANK($C61),"",VLOOKUP($C61,'Ausgabe Zeiten'!M:AV,14,0))</f>
        <v>4.1782407407406907E-3</v>
      </c>
      <c r="P61" s="207">
        <f>IF(ISBLANK($C61),"",VLOOKUP($C61,'Ausgabe Zeiten'!M:AV,19,0))</f>
        <v>4.5192129629628708E-3</v>
      </c>
      <c r="Q61" s="207">
        <f>IF(ISBLANK($C61),"",VLOOKUP($C61,'Ausgabe Zeiten'!M:AV,24,0))</f>
        <v>4.1578703703702979E-3</v>
      </c>
      <c r="R61" s="207">
        <f>IF(ISBLANK($C61),"",VLOOKUP($C61,'Ausgabe Zeiten'!M:AV,29,0))</f>
        <v>0</v>
      </c>
      <c r="S61" s="207">
        <f>IF(ISBLANK($C61),"",VLOOKUP($C61,'Ausgabe Zeiten'!M:AV,35,0))</f>
        <v>3.4722222222222224E-4</v>
      </c>
      <c r="T61" s="207">
        <f>IF(ISBLANK($C61),"",VLOOKUP($C61,'Ausgabe Zeiten'!M:AV,36,0))</f>
        <v>2.2151388888888734E-2</v>
      </c>
      <c r="U61" s="208" t="str">
        <f t="shared" si="3"/>
        <v>ok</v>
      </c>
      <c r="V61" s="198" t="str">
        <f t="shared" si="4"/>
        <v>ok</v>
      </c>
      <c r="W61" s="208"/>
    </row>
    <row r="62" spans="2:23" s="197" customFormat="1" ht="27.75" customHeight="1">
      <c r="B62" s="234">
        <f t="shared" si="1"/>
        <v>56</v>
      </c>
      <c r="C62" s="233">
        <v>71</v>
      </c>
      <c r="D62" s="235">
        <f>IF(ISBLANK($C62),"",VLOOKUP($C62,Teilnehmer!$B$4:$K$200,2,0))</f>
        <v>1</v>
      </c>
      <c r="E62" s="235">
        <f>IF(ISBLANK($C62),"",VLOOKUP($C62,Teilnehmer!$B$4:$K$200,3,0))</f>
        <v>4</v>
      </c>
      <c r="F62" s="181" t="str">
        <f>IF(ISBLANK($C62),"",VLOOKUP($C62,Teilnehmer!$B$4:$K$200,4,0))</f>
        <v>Ateia Tarek</v>
      </c>
      <c r="G62" s="206" t="str">
        <f>IF(ISBLANK($C62),"",VLOOKUP($C62,Teilnehmer!$B$4:$K$200,5,0))</f>
        <v>-</v>
      </c>
      <c r="H62" s="192" t="str">
        <f>IF(ISBLANK($C62),"",VLOOKUP($C62,Teilnehmer!$B$4:$K$200,6,0))</f>
        <v>-</v>
      </c>
      <c r="I62" s="181" t="str">
        <f>IF(ISBLANK($C62),"",VLOOKUP($C62,Teilnehmer!$B$4:$K$200,7,0))</f>
        <v>Spiske Andreas</v>
      </c>
      <c r="J62" s="206" t="str">
        <f>IF(ISBLANK($C62),"",VLOOKUP($C62,Teilnehmer!$B$4:$K$200,8,0))</f>
        <v>-</v>
      </c>
      <c r="K62" s="192" t="str">
        <f>IF(ISBLANK($C62),"",VLOOKUP($C62,Teilnehmer!$B$4:$K$200,9,0))</f>
        <v>-</v>
      </c>
      <c r="L62" s="206" t="str">
        <f>IF(ISBLANK($C62),"",VLOOKUP($C62,Teilnehmer!$B$4:$K$200,10,0))</f>
        <v>BMW 318ti</v>
      </c>
      <c r="M62" s="207">
        <f>IF(ISBLANK($C62),"",VLOOKUP($C62,'Ausgabe Zeiten'!M:AV,4,0))</f>
        <v>4.2682870370370773E-3</v>
      </c>
      <c r="N62" s="207">
        <f>IF(ISBLANK($C62),"",VLOOKUP($C62,'Ausgabe Zeiten'!M:AV,9,0))</f>
        <v>4.7776620370370004E-3</v>
      </c>
      <c r="O62" s="228">
        <f>IF(ISBLANK($C62),"",VLOOKUP($C62,'Ausgabe Zeiten'!M:AV,14,0))</f>
        <v>4.200231481481409E-3</v>
      </c>
      <c r="P62" s="207">
        <f>IF(ISBLANK($C62),"",VLOOKUP($C62,'Ausgabe Zeiten'!M:AV,19,0))</f>
        <v>4.6342592592591991E-3</v>
      </c>
      <c r="Q62" s="207">
        <f>IF(ISBLANK($C62),"",VLOOKUP($C62,'Ausgabe Zeiten'!M:AV,24,0))</f>
        <v>4.1574074074073319E-3</v>
      </c>
      <c r="R62" s="207">
        <f>IF(ISBLANK($C62),"",VLOOKUP($C62,'Ausgabe Zeiten'!M:AV,29,0))</f>
        <v>0</v>
      </c>
      <c r="S62" s="207">
        <f>IF(ISBLANK($C62),"",VLOOKUP($C62,'Ausgabe Zeiten'!M:AV,35,0))</f>
        <v>6.9444444444444447E-4</v>
      </c>
      <c r="T62" s="207">
        <f>IF(ISBLANK($C62),"",VLOOKUP($C62,'Ausgabe Zeiten'!M:AV,36,0))</f>
        <v>2.2732291666666463E-2</v>
      </c>
      <c r="U62" s="208" t="str">
        <f t="shared" si="3"/>
        <v>ok</v>
      </c>
      <c r="V62" s="198" t="str">
        <f t="shared" si="4"/>
        <v>Sortierung A bis Z</v>
      </c>
      <c r="W62" s="208"/>
    </row>
    <row r="63" spans="2:23" s="197" customFormat="1" ht="27.75" customHeight="1">
      <c r="B63" s="234">
        <f t="shared" si="1"/>
        <v>57</v>
      </c>
      <c r="C63" s="233">
        <v>68</v>
      </c>
      <c r="D63" s="235">
        <f>IF(ISBLANK($C63),"",VLOOKUP($C63,Teilnehmer!$B$4:$K$200,2,0))</f>
        <v>1</v>
      </c>
      <c r="E63" s="235">
        <f>IF(ISBLANK($C63),"",VLOOKUP($C63,Teilnehmer!$B$4:$K$200,3,0))</f>
        <v>4</v>
      </c>
      <c r="F63" s="181" t="str">
        <f>IF(ISBLANK($C63),"",VLOOKUP($C63,Teilnehmer!$B$4:$K$200,4,0))</f>
        <v>Deisinger Justin</v>
      </c>
      <c r="G63" s="206" t="str">
        <f>IF(ISBLANK($C63),"",VLOOKUP($C63,Teilnehmer!$B$4:$K$200,5,0))</f>
        <v>-</v>
      </c>
      <c r="H63" s="192" t="str">
        <f>IF(ISBLANK($C63),"",VLOOKUP($C63,Teilnehmer!$B$4:$K$200,6,0))</f>
        <v>Deisinger Motorsport</v>
      </c>
      <c r="I63" s="181" t="str">
        <f>IF(ISBLANK($C63),"",VLOOKUP($C63,Teilnehmer!$B$4:$K$200,7,0))</f>
        <v>Ochs Maximilian</v>
      </c>
      <c r="J63" s="206" t="str">
        <f>IF(ISBLANK($C63),"",VLOOKUP($C63,Teilnehmer!$B$4:$K$200,8,0))</f>
        <v>-</v>
      </c>
      <c r="K63" s="192" t="str">
        <f>IF(ISBLANK($C63),"",VLOOKUP($C63,Teilnehmer!$B$4:$K$200,9,0))</f>
        <v>Deisinger Motorsport</v>
      </c>
      <c r="L63" s="206" t="str">
        <f>IF(ISBLANK($C63),"",VLOOKUP($C63,Teilnehmer!$B$4:$K$200,10,0))</f>
        <v>Opel Kadett E GSi</v>
      </c>
      <c r="M63" s="207">
        <f>IF(ISBLANK($C63),"",VLOOKUP($C63,'Ausgabe Zeiten'!M:AV,4,0))</f>
        <v>4.277430555555517E-3</v>
      </c>
      <c r="N63" s="207">
        <f>IF(ISBLANK($C63),"",VLOOKUP($C63,'Ausgabe Zeiten'!M:AV,9,0))</f>
        <v>4.9773148148148927E-3</v>
      </c>
      <c r="O63" s="228">
        <f>IF(ISBLANK($C63),"",VLOOKUP($C63,'Ausgabe Zeiten'!M:AV,14,0))</f>
        <v>4.1370370370370502E-3</v>
      </c>
      <c r="P63" s="207">
        <f>IF(ISBLANK($C63),"",VLOOKUP($C63,'Ausgabe Zeiten'!M:AV,19,0))</f>
        <v>4.7863425925925851E-3</v>
      </c>
      <c r="Q63" s="207">
        <f>IF(ISBLANK($C63),"",VLOOKUP($C63,'Ausgabe Zeiten'!M:AV,24,0))</f>
        <v>4.1195601851852226E-3</v>
      </c>
      <c r="R63" s="207">
        <f>IF(ISBLANK($C63),"",VLOOKUP($C63,'Ausgabe Zeiten'!M:AV,29,0))</f>
        <v>0</v>
      </c>
      <c r="S63" s="207">
        <f>IF(ISBLANK($C63),"",VLOOKUP($C63,'Ausgabe Zeiten'!M:AV,35,0))</f>
        <v>0</v>
      </c>
      <c r="T63" s="207">
        <f>IF(ISBLANK($C63),"",VLOOKUP($C63,'Ausgabe Zeiten'!M:AV,36,0))</f>
        <v>2.2297685185185268E-2</v>
      </c>
      <c r="U63" s="208" t="str">
        <f t="shared" si="3"/>
        <v>ok</v>
      </c>
      <c r="V63" s="198" t="str">
        <f t="shared" si="4"/>
        <v>ok</v>
      </c>
      <c r="W63" s="208"/>
    </row>
    <row r="64" spans="2:23" s="197" customFormat="1" ht="27.75" customHeight="1">
      <c r="B64" s="234">
        <f t="shared" si="1"/>
        <v>58</v>
      </c>
      <c r="C64" s="233">
        <v>52</v>
      </c>
      <c r="D64" s="235">
        <f>IF(ISBLANK($C64),"",VLOOKUP($C64,Teilnehmer!$B$4:$K$200,2,0))</f>
        <v>2</v>
      </c>
      <c r="E64" s="235">
        <f>IF(ISBLANK($C64),"",VLOOKUP($C64,Teilnehmer!$B$4:$K$200,3,0))</f>
        <v>7</v>
      </c>
      <c r="F64" s="181" t="str">
        <f>IF(ISBLANK($C64),"",VLOOKUP($C64,Teilnehmer!$B$4:$K$200,4,0))</f>
        <v>Thiel Rainer</v>
      </c>
      <c r="G64" s="206">
        <f>IF(ISBLANK($C64),"",VLOOKUP($C64,Teilnehmer!$B$4:$K$200,5,0))</f>
        <v>12291</v>
      </c>
      <c r="H64" s="192" t="str">
        <f>IF(ISBLANK($C64),"",VLOOKUP($C64,Teilnehmer!$B$4:$K$200,6,0))</f>
        <v>MSC Jura</v>
      </c>
      <c r="I64" s="181" t="str">
        <f>IF(ISBLANK($C64),"",VLOOKUP($C64,Teilnehmer!$B$4:$K$200,7,0))</f>
        <v>Thiel Daniel</v>
      </c>
      <c r="J64" s="206">
        <f>IF(ISBLANK($C64),"",VLOOKUP($C64,Teilnehmer!$B$4:$K$200,8,0))</f>
        <v>15785</v>
      </c>
      <c r="K64" s="192" t="str">
        <f>IF(ISBLANK($C64),"",VLOOKUP($C64,Teilnehmer!$B$4:$K$200,9,0))</f>
        <v>-</v>
      </c>
      <c r="L64" s="206" t="str">
        <f>IF(ISBLANK($C64),"",VLOOKUP($C64,Teilnehmer!$B$4:$K$200,10,0))</f>
        <v>FIAT Panda</v>
      </c>
      <c r="M64" s="207">
        <f>IF(ISBLANK($C64),"",VLOOKUP($C64,'Ausgabe Zeiten'!M:AV,4,0))</f>
        <v>4.2812500000000142E-3</v>
      </c>
      <c r="N64" s="207">
        <f>IF(ISBLANK($C64),"",VLOOKUP($C64,'Ausgabe Zeiten'!M:AV,9,0))</f>
        <v>4.5872685185184281E-3</v>
      </c>
      <c r="O64" s="228">
        <f>IF(ISBLANK($C64),"",VLOOKUP($C64,'Ausgabe Zeiten'!M:AV,14,0))</f>
        <v>4.2402777777778011E-3</v>
      </c>
      <c r="P64" s="207">
        <f>IF(ISBLANK($C64),"",VLOOKUP($C64,'Ausgabe Zeiten'!M:AV,19,0))</f>
        <v>1.0416666666666666E-2</v>
      </c>
      <c r="Q64" s="207">
        <f>IF(ISBLANK($C64),"",VLOOKUP($C64,'Ausgabe Zeiten'!M:AV,24,0))</f>
        <v>1.0416666666666666E-2</v>
      </c>
      <c r="R64" s="207">
        <f>IF(ISBLANK($C64),"",VLOOKUP($C64,'Ausgabe Zeiten'!M:AV,29,0))</f>
        <v>0</v>
      </c>
      <c r="S64" s="207">
        <f>IF(ISBLANK($C64),"",VLOOKUP($C64,'Ausgabe Zeiten'!M:AV,35,0))</f>
        <v>0</v>
      </c>
      <c r="T64" s="207">
        <f>IF(ISBLANK($C64),"",VLOOKUP($C64,'Ausgabe Zeiten'!M:AV,36,0))</f>
        <v>3.3942129629629572E-2</v>
      </c>
      <c r="U64" s="208" t="str">
        <f t="shared" si="3"/>
        <v>ok</v>
      </c>
      <c r="V64" s="198" t="str">
        <f t="shared" si="4"/>
        <v>Sortierung A bis Z</v>
      </c>
      <c r="W64" s="208"/>
    </row>
    <row r="65" spans="2:23" s="197" customFormat="1" ht="27.75" customHeight="1">
      <c r="B65" s="234">
        <f t="shared" si="1"/>
        <v>59</v>
      </c>
      <c r="C65" s="233">
        <v>50</v>
      </c>
      <c r="D65" s="235">
        <f>IF(ISBLANK($C65),"",VLOOKUP($C65,Teilnehmer!$B$4:$K$200,2,0))</f>
        <v>2</v>
      </c>
      <c r="E65" s="235">
        <f>IF(ISBLANK($C65),"",VLOOKUP($C65,Teilnehmer!$B$4:$K$200,3,0))</f>
        <v>8</v>
      </c>
      <c r="F65" s="181" t="str">
        <f>IF(ISBLANK($C65),"",VLOOKUP($C65,Teilnehmer!$B$4:$K$200,4,0))</f>
        <v>Werner Harald</v>
      </c>
      <c r="G65" s="206">
        <f>IF(ISBLANK($C65),"",VLOOKUP($C65,Teilnehmer!$B$4:$K$200,5,0))</f>
        <v>20275</v>
      </c>
      <c r="H65" s="192" t="str">
        <f>IF(ISBLANK($C65),"",VLOOKUP($C65,Teilnehmer!$B$4:$K$200,6,0))</f>
        <v>RST Mittelfranken</v>
      </c>
      <c r="I65" s="181" t="str">
        <f>IF(ISBLANK($C65),"",VLOOKUP($C65,Teilnehmer!$B$4:$K$200,7,0))</f>
        <v>Bratfisch-Beltz Thomas</v>
      </c>
      <c r="J65" s="206">
        <f>IF(ISBLANK($C65),"",VLOOKUP($C65,Teilnehmer!$B$4:$K$200,8,0))</f>
        <v>40075</v>
      </c>
      <c r="K65" s="192" t="str">
        <f>IF(ISBLANK($C65),"",VLOOKUP($C65,Teilnehmer!$B$4:$K$200,9,0))</f>
        <v>MSC Berg</v>
      </c>
      <c r="L65" s="206" t="str">
        <f>IF(ISBLANK($C65),"",VLOOKUP($C65,Teilnehmer!$B$4:$K$200,10,0))</f>
        <v>Mitsubishi Colt</v>
      </c>
      <c r="M65" s="207">
        <f>IF(ISBLANK($C65),"",VLOOKUP($C65,'Ausgabe Zeiten'!M:AV,4,0))</f>
        <v>4.3006944444444195E-3</v>
      </c>
      <c r="N65" s="207">
        <f>IF(ISBLANK($C65),"",VLOOKUP($C65,'Ausgabe Zeiten'!M:AV,9,0))</f>
        <v>4.670486111111094E-3</v>
      </c>
      <c r="O65" s="228">
        <f>IF(ISBLANK($C65),"",VLOOKUP($C65,'Ausgabe Zeiten'!M:AV,14,0))</f>
        <v>4.1932870370370301E-3</v>
      </c>
      <c r="P65" s="207">
        <f>IF(ISBLANK($C65),"",VLOOKUP($C65,'Ausgabe Zeiten'!M:AV,19,0))</f>
        <v>4.5491898148148913E-3</v>
      </c>
      <c r="Q65" s="207">
        <f>IF(ISBLANK($C65),"",VLOOKUP($C65,'Ausgabe Zeiten'!M:AV,24,0))</f>
        <v>4.1109953703704072E-3</v>
      </c>
      <c r="R65" s="207">
        <f>IF(ISBLANK($C65),"",VLOOKUP($C65,'Ausgabe Zeiten'!M:AV,29,0))</f>
        <v>0</v>
      </c>
      <c r="S65" s="207">
        <f>IF(ISBLANK($C65),"",VLOOKUP($C65,'Ausgabe Zeiten'!M:AV,35,0))</f>
        <v>0</v>
      </c>
      <c r="T65" s="207">
        <f>IF(ISBLANK($C65),"",VLOOKUP($C65,'Ausgabe Zeiten'!M:AV,36,0))</f>
        <v>2.1824652777777842E-2</v>
      </c>
      <c r="U65" s="208" t="str">
        <f t="shared" si="3"/>
        <v>ok</v>
      </c>
      <c r="V65" s="198" t="e">
        <f>IF(ISBLANK($C65),"",IF(#REF!&gt;T65,"ok","Sortierung A bis Z"))</f>
        <v>#REF!</v>
      </c>
      <c r="W65" s="208"/>
    </row>
    <row r="66" spans="2:23" s="197" customFormat="1" ht="27.75" customHeight="1">
      <c r="B66" s="234">
        <f t="shared" si="1"/>
        <v>60</v>
      </c>
      <c r="C66" s="233">
        <v>64</v>
      </c>
      <c r="D66" s="235">
        <f>IF(ISBLANK($C66),"",VLOOKUP($C66,Teilnehmer!$B$4:$K$200,2,0))</f>
        <v>1</v>
      </c>
      <c r="E66" s="235">
        <f>IF(ISBLANK($C66),"",VLOOKUP($C66,Teilnehmer!$B$4:$K$200,3,0))</f>
        <v>4</v>
      </c>
      <c r="F66" s="181" t="str">
        <f>IF(ISBLANK($C66),"",VLOOKUP($C66,Teilnehmer!$B$4:$K$200,4,0))</f>
        <v>Leidel Stefan</v>
      </c>
      <c r="G66" s="206">
        <f>IF(ISBLANK($C66),"",VLOOKUP($C66,Teilnehmer!$B$4:$K$200,5,0))</f>
        <v>15498</v>
      </c>
      <c r="H66" s="192" t="str">
        <f>IF(ISBLANK($C66),"",VLOOKUP($C66,Teilnehmer!$B$4:$K$200,6,0))</f>
        <v>-</v>
      </c>
      <c r="I66" s="181" t="str">
        <f>IF(ISBLANK($C66),"",VLOOKUP($C66,Teilnehmer!$B$4:$K$200,7,0))</f>
        <v>Nemeth Christian</v>
      </c>
      <c r="J66" s="206">
        <f>IF(ISBLANK($C66),"",VLOOKUP($C66,Teilnehmer!$B$4:$K$200,8,0))</f>
        <v>16424</v>
      </c>
      <c r="K66" s="192" t="str">
        <f>IF(ISBLANK($C66),"",VLOOKUP($C66,Teilnehmer!$B$4:$K$200,9,0))</f>
        <v>-</v>
      </c>
      <c r="L66" s="206" t="str">
        <f>IF(ISBLANK($C66),"",VLOOKUP($C66,Teilnehmer!$B$4:$K$200,10,0))</f>
        <v>BMW E30 318IS</v>
      </c>
      <c r="M66" s="207">
        <f>IF(ISBLANK($C66),"",VLOOKUP($C66,'Ausgabe Zeiten'!M:AV,4,0))</f>
        <v>4.3122685185185139E-3</v>
      </c>
      <c r="N66" s="207">
        <f>IF(ISBLANK($C66),"",VLOOKUP($C66,'Ausgabe Zeiten'!M:AV,9,0))</f>
        <v>4.843518518518497E-3</v>
      </c>
      <c r="O66" s="228">
        <f>IF(ISBLANK($C66),"",VLOOKUP($C66,'Ausgabe Zeiten'!M:AV,14,0))</f>
        <v>4.2719907407408053E-3</v>
      </c>
      <c r="P66" s="207">
        <f>IF(ISBLANK($C66),"",VLOOKUP($C66,'Ausgabe Zeiten'!M:AV,19,0))</f>
        <v>4.7210648148149348E-3</v>
      </c>
      <c r="Q66" s="207">
        <f>IF(ISBLANK($C66),"",VLOOKUP($C66,'Ausgabe Zeiten'!M:AV,24,0))</f>
        <v>4.2549768518518327E-3</v>
      </c>
      <c r="R66" s="207">
        <f>IF(ISBLANK($C66),"",VLOOKUP($C66,'Ausgabe Zeiten'!M:AV,29,0))</f>
        <v>0</v>
      </c>
      <c r="S66" s="207">
        <f>IF(ISBLANK($C66),"",VLOOKUP($C66,'Ausgabe Zeiten'!M:AV,35,0))</f>
        <v>0</v>
      </c>
      <c r="T66" s="207">
        <f>IF(ISBLANK($C66),"",VLOOKUP($C66,'Ausgabe Zeiten'!M:AV,36,0))</f>
        <v>2.2403819444444584E-2</v>
      </c>
      <c r="U66" s="208"/>
      <c r="V66" s="198"/>
      <c r="W66" s="208"/>
    </row>
    <row r="67" spans="2:23" s="197" customFormat="1" ht="27.75" customHeight="1">
      <c r="B67" s="234">
        <f t="shared" si="1"/>
        <v>61</v>
      </c>
      <c r="C67" s="233">
        <v>53</v>
      </c>
      <c r="D67" s="235">
        <f>IF(ISBLANK($C67),"",VLOOKUP($C67,Teilnehmer!$B$4:$K$200,2,0))</f>
        <v>2</v>
      </c>
      <c r="E67" s="235">
        <f>IF(ISBLANK($C67),"",VLOOKUP($C67,Teilnehmer!$B$4:$K$200,3,0))</f>
        <v>7</v>
      </c>
      <c r="F67" s="181" t="str">
        <f>IF(ISBLANK($C67),"",VLOOKUP($C67,Teilnehmer!$B$4:$K$200,4,0))</f>
        <v>Sarkowski Alfred</v>
      </c>
      <c r="G67" s="206">
        <f>IF(ISBLANK($C67),"",VLOOKUP($C67,Teilnehmer!$B$4:$K$200,5,0))</f>
        <v>16011</v>
      </c>
      <c r="H67" s="192" t="str">
        <f>IF(ISBLANK($C67),"",VLOOKUP($C67,Teilnehmer!$B$4:$K$200,6,0))</f>
        <v>MSC Mamming</v>
      </c>
      <c r="I67" s="181" t="str">
        <f>IF(ISBLANK($C67),"",VLOOKUP($C67,Teilnehmer!$B$4:$K$200,7,0))</f>
        <v>Sollinger Christoph</v>
      </c>
      <c r="J67" s="206">
        <f>IF(ISBLANK($C67),"",VLOOKUP($C67,Teilnehmer!$B$4:$K$200,8,0))</f>
        <v>16631</v>
      </c>
      <c r="K67" s="192" t="str">
        <f>IF(ISBLANK($C67),"",VLOOKUP($C67,Teilnehmer!$B$4:$K$200,9,0))</f>
        <v>Selzer Team Mirskofen</v>
      </c>
      <c r="L67" s="206" t="str">
        <f>IF(ISBLANK($C67),"",VLOOKUP($C67,Teilnehmer!$B$4:$K$200,10,0))</f>
        <v>VW Polo 86 c</v>
      </c>
      <c r="M67" s="207">
        <f>IF(ISBLANK($C67),"",VLOOKUP($C67,'Ausgabe Zeiten'!M:AV,4,0))</f>
        <v>4.4184027777777746E-3</v>
      </c>
      <c r="N67" s="207">
        <f>IF(ISBLANK($C67),"",VLOOKUP($C67,'Ausgabe Zeiten'!M:AV,9,0))</f>
        <v>4.8039351851851819E-3</v>
      </c>
      <c r="O67" s="228">
        <f>IF(ISBLANK($C67),"",VLOOKUP($C67,'Ausgabe Zeiten'!M:AV,14,0))</f>
        <v>4.3644675925925691E-3</v>
      </c>
      <c r="P67" s="207">
        <f>IF(ISBLANK($C67),"",VLOOKUP($C67,'Ausgabe Zeiten'!M:AV,19,0))</f>
        <v>1.0416666666666666E-2</v>
      </c>
      <c r="Q67" s="207" t="str">
        <f>IF(ISBLANK($C67),"",VLOOKUP($C67,'Ausgabe Zeiten'!M:AV,24,0))</f>
        <v>ADW</v>
      </c>
      <c r="R67" s="207">
        <f>IF(ISBLANK($C67),"",VLOOKUP($C67,'Ausgabe Zeiten'!M:AV,29,0))</f>
        <v>0</v>
      </c>
      <c r="S67" s="207">
        <f>IF(ISBLANK($C67),"",VLOOKUP($C67,'Ausgabe Zeiten'!M:AV,35,0))</f>
        <v>0</v>
      </c>
      <c r="T67" s="207" t="str">
        <f>IF(ISBLANK($C67),"",VLOOKUP($C67,'Ausgabe Zeiten'!M:AV,36,0))</f>
        <v>ADW</v>
      </c>
      <c r="U67" s="208"/>
      <c r="V67" s="198"/>
      <c r="W67" s="208"/>
    </row>
    <row r="68" spans="2:23" s="197" customFormat="1" ht="27.75" customHeight="1">
      <c r="B68" s="234">
        <f t="shared" si="1"/>
        <v>62</v>
      </c>
      <c r="C68" s="233">
        <v>45</v>
      </c>
      <c r="D68" s="235">
        <f>IF(ISBLANK($C68),"",VLOOKUP($C68,Teilnehmer!$B$4:$K$200,2,0))</f>
        <v>2</v>
      </c>
      <c r="E68" s="235">
        <f>IF(ISBLANK($C68),"",VLOOKUP($C68,Teilnehmer!$B$4:$K$200,3,0))</f>
        <v>8</v>
      </c>
      <c r="F68" s="181" t="str">
        <f>IF(ISBLANK($C68),"",VLOOKUP($C68,Teilnehmer!$B$4:$K$200,4,0))</f>
        <v>Preis sen. Gerhard</v>
      </c>
      <c r="G68" s="206" t="str">
        <f>IF(ISBLANK($C68),"",VLOOKUP($C68,Teilnehmer!$B$4:$K$200,5,0))</f>
        <v>-</v>
      </c>
      <c r="H68" s="192" t="str">
        <f>IF(ISBLANK($C68),"",VLOOKUP($C68,Teilnehmer!$B$4:$K$200,6,0))</f>
        <v>-</v>
      </c>
      <c r="I68" s="181" t="str">
        <f>IF(ISBLANK($C68),"",VLOOKUP($C68,Teilnehmer!$B$4:$K$200,7,0))</f>
        <v>Ilgmeier Erwin</v>
      </c>
      <c r="J68" s="206" t="str">
        <f>IF(ISBLANK($C68),"",VLOOKUP($C68,Teilnehmer!$B$4:$K$200,8,0))</f>
        <v>-</v>
      </c>
      <c r="K68" s="192" t="str">
        <f>IF(ISBLANK($C68),"",VLOOKUP($C68,Teilnehmer!$B$4:$K$200,9,0))</f>
        <v>-</v>
      </c>
      <c r="L68" s="206" t="str">
        <f>IF(ISBLANK($C68),"",VLOOKUP($C68,Teilnehmer!$B$4:$K$200,10,0))</f>
        <v>Peugeot 206</v>
      </c>
      <c r="M68" s="207">
        <f>IF(ISBLANK($C68),"",VLOOKUP($C68,'Ausgabe Zeiten'!M:AV,4,0))</f>
        <v>4.4189814814815098E-3</v>
      </c>
      <c r="N68" s="207">
        <f>IF(ISBLANK($C68),"",VLOOKUP($C68,'Ausgabe Zeiten'!M:AV,9,0))</f>
        <v>1.0416666666666666E-2</v>
      </c>
      <c r="O68" s="228">
        <f>IF(ISBLANK($C68),"",VLOOKUP($C68,'Ausgabe Zeiten'!M:AV,14,0))</f>
        <v>4.3354166666667027E-3</v>
      </c>
      <c r="P68" s="207">
        <f>IF(ISBLANK($C68),"",VLOOKUP($C68,'Ausgabe Zeiten'!M:AV,19,0))</f>
        <v>4.8461805555556348E-3</v>
      </c>
      <c r="Q68" s="207">
        <f>IF(ISBLANK($C68),"",VLOOKUP($C68,'Ausgabe Zeiten'!M:AV,24,0))</f>
        <v>4.4032407407408325E-3</v>
      </c>
      <c r="R68" s="207">
        <f>IF(ISBLANK($C68),"",VLOOKUP($C68,'Ausgabe Zeiten'!M:AV,29,0))</f>
        <v>0</v>
      </c>
      <c r="S68" s="207">
        <f>IF(ISBLANK($C68),"",VLOOKUP($C68,'Ausgabe Zeiten'!M:AV,35,0))</f>
        <v>0</v>
      </c>
      <c r="T68" s="207">
        <f>IF(ISBLANK($C68),"",VLOOKUP($C68,'Ausgabe Zeiten'!M:AV,36,0))</f>
        <v>2.8420486111111344E-2</v>
      </c>
      <c r="U68" s="208"/>
      <c r="V68" s="198"/>
      <c r="W68" s="208"/>
    </row>
    <row r="69" spans="2:23" s="197" customFormat="1" ht="27.75" customHeight="1">
      <c r="B69" s="234">
        <f t="shared" si="1"/>
        <v>63</v>
      </c>
      <c r="C69" s="233">
        <v>58</v>
      </c>
      <c r="D69" s="235">
        <f>IF(ISBLANK($C69),"",VLOOKUP($C69,Teilnehmer!$B$4:$K$200,2,0))</f>
        <v>1</v>
      </c>
      <c r="E69" s="235">
        <f>IF(ISBLANK($C69),"",VLOOKUP($C69,Teilnehmer!$B$4:$K$200,3,0))</f>
        <v>5</v>
      </c>
      <c r="F69" s="181" t="str">
        <f>IF(ISBLANK($C69),"",VLOOKUP($C69,Teilnehmer!$B$4:$K$200,4,0))</f>
        <v>Kühnlein Matthias</v>
      </c>
      <c r="G69" s="206">
        <f>IF(ISBLANK($C69),"",VLOOKUP($C69,Teilnehmer!$B$4:$K$200,5,0))</f>
        <v>16416</v>
      </c>
      <c r="H69" s="192" t="str">
        <f>IF(ISBLANK($C69),"",VLOOKUP($C69,Teilnehmer!$B$4:$K$200,6,0))</f>
        <v>AC Gunzenhausen</v>
      </c>
      <c r="I69" s="181" t="str">
        <f>IF(ISBLANK($C69),"",VLOOKUP($C69,Teilnehmer!$B$4:$K$200,7,0))</f>
        <v>Funk Christian</v>
      </c>
      <c r="J69" s="206">
        <f>IF(ISBLANK($C69),"",VLOOKUP($C69,Teilnehmer!$B$4:$K$200,8,0))</f>
        <v>13818</v>
      </c>
      <c r="K69" s="192" t="str">
        <f>IF(ISBLANK($C69),"",VLOOKUP($C69,Teilnehmer!$B$4:$K$200,9,0))</f>
        <v>AC Gunzenhausen</v>
      </c>
      <c r="L69" s="206" t="str">
        <f>IF(ISBLANK($C69),"",VLOOKUP($C69,Teilnehmer!$B$4:$K$200,10,0))</f>
        <v>Mercedes-Benz C230 Sportcoupe</v>
      </c>
      <c r="M69" s="207">
        <f>IF(ISBLANK($C69),"",VLOOKUP($C69,'Ausgabe Zeiten'!M:AV,4,0))</f>
        <v>4.4931712962963943E-3</v>
      </c>
      <c r="N69" s="207">
        <f>IF(ISBLANK($C69),"",VLOOKUP($C69,'Ausgabe Zeiten'!M:AV,9,0))</f>
        <v>4.8127314814815358E-3</v>
      </c>
      <c r="O69" s="228">
        <f>IF(ISBLANK($C69),"",VLOOKUP($C69,'Ausgabe Zeiten'!M:AV,14,0))</f>
        <v>4.3905092592592121E-3</v>
      </c>
      <c r="P69" s="207">
        <f>IF(ISBLANK($C69),"",VLOOKUP($C69,'Ausgabe Zeiten'!M:AV,19,0))</f>
        <v>4.7369212962963259E-3</v>
      </c>
      <c r="Q69" s="207">
        <f>IF(ISBLANK($C69),"",VLOOKUP($C69,'Ausgabe Zeiten'!M:AV,24,0))</f>
        <v>4.2906249999999924E-3</v>
      </c>
      <c r="R69" s="207">
        <f>IF(ISBLANK($C69),"",VLOOKUP($C69,'Ausgabe Zeiten'!M:AV,29,0))</f>
        <v>0</v>
      </c>
      <c r="S69" s="207">
        <f>IF(ISBLANK($C69),"",VLOOKUP($C69,'Ausgabe Zeiten'!M:AV,35,0))</f>
        <v>0</v>
      </c>
      <c r="T69" s="207">
        <f>IF(ISBLANK($C69),"",VLOOKUP($C69,'Ausgabe Zeiten'!M:AV,36,0))</f>
        <v>2.272395833333346E-2</v>
      </c>
      <c r="U69" s="208"/>
      <c r="V69" s="198"/>
      <c r="W69" s="208"/>
    </row>
    <row r="70" spans="2:23" s="197" customFormat="1" ht="27.75" customHeight="1">
      <c r="B70" s="234">
        <f t="shared" si="1"/>
        <v>64</v>
      </c>
      <c r="C70" s="233">
        <v>67</v>
      </c>
      <c r="D70" s="235">
        <f>IF(ISBLANK($C70),"",VLOOKUP($C70,Teilnehmer!$B$4:$K$200,2,0))</f>
        <v>1</v>
      </c>
      <c r="E70" s="235">
        <f>IF(ISBLANK($C70),"",VLOOKUP($C70,Teilnehmer!$B$4:$K$200,3,0))</f>
        <v>4</v>
      </c>
      <c r="F70" s="181" t="str">
        <f>IF(ISBLANK($C70),"",VLOOKUP($C70,Teilnehmer!$B$4:$K$200,4,0))</f>
        <v>Walter Gerhard</v>
      </c>
      <c r="G70" s="206">
        <f>IF(ISBLANK($C70),"",VLOOKUP($C70,Teilnehmer!$B$4:$K$200,5,0))</f>
        <v>20268</v>
      </c>
      <c r="H70" s="192" t="str">
        <f>IF(ISBLANK($C70),"",VLOOKUP($C70,Teilnehmer!$B$4:$K$200,6,0))</f>
        <v>AC Gunzenhausen</v>
      </c>
      <c r="I70" s="181" t="str">
        <f>IF(ISBLANK($C70),"",VLOOKUP($C70,Teilnehmer!$B$4:$K$200,7,0))</f>
        <v>Schwarz Georg</v>
      </c>
      <c r="J70" s="206">
        <f>IF(ISBLANK($C70),"",VLOOKUP($C70,Teilnehmer!$B$4:$K$200,8,0))</f>
        <v>20042</v>
      </c>
      <c r="K70" s="192" t="str">
        <f>IF(ISBLANK($C70),"",VLOOKUP($C70,Teilnehmer!$B$4:$K$200,9,0))</f>
        <v>AC Gunzenhausen</v>
      </c>
      <c r="L70" s="206" t="str">
        <f>IF(ISBLANK($C70),"",VLOOKUP($C70,Teilnehmer!$B$4:$K$200,10,0))</f>
        <v>BMW 318IS</v>
      </c>
      <c r="M70" s="207">
        <f>IF(ISBLANK($C70),"",VLOOKUP($C70,'Ausgabe Zeiten'!M:AV,4,0))</f>
        <v>4.8299768518518249E-3</v>
      </c>
      <c r="N70" s="207">
        <f>IF(ISBLANK($C70),"",VLOOKUP($C70,'Ausgabe Zeiten'!M:AV,9,0))</f>
        <v>1.0416666666666666E-2</v>
      </c>
      <c r="O70" s="228" t="str">
        <f>IF(ISBLANK($C70),"",VLOOKUP($C70,'Ausgabe Zeiten'!M:AV,14,0))</f>
        <v>ADW</v>
      </c>
      <c r="P70" s="207" t="str">
        <f>IF(ISBLANK($C70),"",VLOOKUP($C70,'Ausgabe Zeiten'!M:AV,19,0))</f>
        <v>ADW</v>
      </c>
      <c r="Q70" s="207" t="str">
        <f>IF(ISBLANK($C70),"",VLOOKUP($C70,'Ausgabe Zeiten'!M:AV,24,0))</f>
        <v>ADW</v>
      </c>
      <c r="R70" s="207">
        <f>IF(ISBLANK($C70),"",VLOOKUP($C70,'Ausgabe Zeiten'!M:AV,29,0))</f>
        <v>0</v>
      </c>
      <c r="S70" s="207">
        <f>IF(ISBLANK($C70),"",VLOOKUP($C70,'Ausgabe Zeiten'!M:AV,35,0))</f>
        <v>0</v>
      </c>
      <c r="T70" s="207" t="str">
        <f>IF(ISBLANK($C70),"",VLOOKUP($C70,'Ausgabe Zeiten'!M:AV,36,0))</f>
        <v>ADW</v>
      </c>
      <c r="U70" s="208"/>
      <c r="V70" s="198"/>
      <c r="W70" s="208"/>
    </row>
    <row r="71" spans="2:23" s="197" customFormat="1" ht="27.75" customHeight="1">
      <c r="B71" s="234">
        <f t="shared" si="1"/>
        <v>65</v>
      </c>
      <c r="C71" s="233">
        <v>41</v>
      </c>
      <c r="D71" s="235">
        <f>IF(ISBLANK($C71),"",VLOOKUP($C71,Teilnehmer!$B$4:$K$200,2,0))</f>
        <v>2</v>
      </c>
      <c r="E71" s="235">
        <f>IF(ISBLANK($C71),"",VLOOKUP($C71,Teilnehmer!$B$4:$K$200,3,0))</f>
        <v>8</v>
      </c>
      <c r="F71" s="181" t="str">
        <f>IF(ISBLANK($C71),"",VLOOKUP($C71,Teilnehmer!$B$4:$K$200,4,0))</f>
        <v>Lange Kay Mario Oliver</v>
      </c>
      <c r="G71" s="206">
        <f>IF(ISBLANK($C71),"",VLOOKUP($C71,Teilnehmer!$B$4:$K$200,5,0))</f>
        <v>14751</v>
      </c>
      <c r="H71" s="192" t="str">
        <f>IF(ISBLANK($C71),"",VLOOKUP($C71,Teilnehmer!$B$4:$K$200,6,0))</f>
        <v>MSC Mamming</v>
      </c>
      <c r="I71" s="181" t="str">
        <f>IF(ISBLANK($C71),"",VLOOKUP($C71,Teilnehmer!$B$4:$K$200,7,0))</f>
        <v>Lange Nina</v>
      </c>
      <c r="J71" s="206">
        <f>IF(ISBLANK($C71),"",VLOOKUP($C71,Teilnehmer!$B$4:$K$200,8,0))</f>
        <v>15055</v>
      </c>
      <c r="K71" s="192" t="str">
        <f>IF(ISBLANK($C71),"",VLOOKUP($C71,Teilnehmer!$B$4:$K$200,9,0))</f>
        <v>MSC Mamming</v>
      </c>
      <c r="L71" s="206" t="str">
        <f>IF(ISBLANK($C71),"",VLOOKUP($C71,Teilnehmer!$B$4:$K$200,10,0))</f>
        <v>Honda Civic</v>
      </c>
      <c r="M71" s="207">
        <f>IF(ISBLANK($C71),"",VLOOKUP($C71,'Ausgabe Zeiten'!M:AV,4,0))</f>
        <v>5.9731481481481441E-3</v>
      </c>
      <c r="N71" s="207">
        <f>IF(ISBLANK($C71),"",VLOOKUP($C71,'Ausgabe Zeiten'!M:AV,9,0))</f>
        <v>4.870949074074038E-3</v>
      </c>
      <c r="O71" s="228">
        <f>IF(ISBLANK($C71),"",VLOOKUP($C71,'Ausgabe Zeiten'!M:AV,14,0))</f>
        <v>4.1972222222221856E-3</v>
      </c>
      <c r="P71" s="207">
        <f>IF(ISBLANK($C71),"",VLOOKUP($C71,'Ausgabe Zeiten'!M:AV,19,0))</f>
        <v>4.6943287037035653E-3</v>
      </c>
      <c r="Q71" s="207">
        <f>IF(ISBLANK($C71),"",VLOOKUP($C71,'Ausgabe Zeiten'!M:AV,24,0))</f>
        <v>4.1918981481481321E-3</v>
      </c>
      <c r="R71" s="207">
        <f>IF(ISBLANK($C71),"",VLOOKUP($C71,'Ausgabe Zeiten'!M:AV,29,0))</f>
        <v>0</v>
      </c>
      <c r="S71" s="207">
        <f>IF(ISBLANK($C71),"",VLOOKUP($C71,'Ausgabe Zeiten'!M:AV,35,0))</f>
        <v>0</v>
      </c>
      <c r="T71" s="207">
        <f>IF(ISBLANK($C71),"",VLOOKUP($C71,'Ausgabe Zeiten'!M:AV,36,0))</f>
        <v>2.3927546296296065E-2</v>
      </c>
      <c r="U71" s="208"/>
      <c r="V71" s="198"/>
      <c r="W71" s="208"/>
    </row>
    <row r="72" spans="2:23" s="197" customFormat="1" ht="27.75" customHeight="1">
      <c r="B72" s="234">
        <f t="shared" ref="B72:B76" si="5">IF(ISBLANK(C72),"",B71+1)</f>
        <v>66</v>
      </c>
      <c r="C72" s="233">
        <v>17</v>
      </c>
      <c r="D72" s="235">
        <f>IF(ISBLANK($C72),"",VLOOKUP($C72,Teilnehmer!$B$4:$K$200,2,0))</f>
        <v>2</v>
      </c>
      <c r="E72" s="235">
        <f>IF(ISBLANK($C72),"",VLOOKUP($C72,Teilnehmer!$B$4:$K$200,3,0))</f>
        <v>10</v>
      </c>
      <c r="F72" s="181" t="str">
        <f>IF(ISBLANK($C72),"",VLOOKUP($C72,Teilnehmer!$B$4:$K$200,4,0))</f>
        <v>Müller Werner</v>
      </c>
      <c r="G72" s="206" t="str">
        <f>IF(ISBLANK($C72),"",VLOOKUP($C72,Teilnehmer!$B$4:$K$200,5,0))</f>
        <v>-</v>
      </c>
      <c r="H72" s="192" t="str">
        <f>IF(ISBLANK($C72),"",VLOOKUP($C72,Teilnehmer!$B$4:$K$200,6,0))</f>
        <v>MSC Emmersdorf</v>
      </c>
      <c r="I72" s="181" t="str">
        <f>IF(ISBLANK($C72),"",VLOOKUP($C72,Teilnehmer!$B$4:$K$200,7,0))</f>
        <v>Trabs Jasmin</v>
      </c>
      <c r="J72" s="206" t="str">
        <f>IF(ISBLANK($C72),"",VLOOKUP($C72,Teilnehmer!$B$4:$K$200,8,0))</f>
        <v>-</v>
      </c>
      <c r="K72" s="192" t="str">
        <f>IF(ISBLANK($C72),"",VLOOKUP($C72,Teilnehmer!$B$4:$K$200,9,0))</f>
        <v>MSC Emmersdorf</v>
      </c>
      <c r="L72" s="206" t="str">
        <f>IF(ISBLANK($C72),"",VLOOKUP($C72,Teilnehmer!$B$4:$K$200,10,0))</f>
        <v>BMW BMW M3</v>
      </c>
      <c r="M72" s="207">
        <f>IF(ISBLANK($C72),"",VLOOKUP($C72,'Ausgabe Zeiten'!M:AV,4,0))</f>
        <v>7.2086805555554578E-3</v>
      </c>
      <c r="N72" s="207">
        <f>IF(ISBLANK($C72),"",VLOOKUP($C72,'Ausgabe Zeiten'!M:AV,9,0))</f>
        <v>4.1418981481481376E-3</v>
      </c>
      <c r="O72" s="228">
        <f>IF(ISBLANK($C72),"",VLOOKUP($C72,'Ausgabe Zeiten'!M:AV,14,0))</f>
        <v>3.5158564814814497E-3</v>
      </c>
      <c r="P72" s="207">
        <f>IF(ISBLANK($C72),"",VLOOKUP($C72,'Ausgabe Zeiten'!M:AV,19,0))</f>
        <v>4.182060185185188E-3</v>
      </c>
      <c r="Q72" s="207">
        <f>IF(ISBLANK($C72),"",VLOOKUP($C72,'Ausgabe Zeiten'!M:AV,24,0))</f>
        <v>3.5513888888888401E-3</v>
      </c>
      <c r="R72" s="207">
        <f>IF(ISBLANK($C72),"",VLOOKUP($C72,'Ausgabe Zeiten'!M:AV,29,0))</f>
        <v>0</v>
      </c>
      <c r="S72" s="207">
        <f>IF(ISBLANK($C72),"",VLOOKUP($C72,'Ausgabe Zeiten'!M:AV,35,0))</f>
        <v>0</v>
      </c>
      <c r="T72" s="207">
        <f>IF(ISBLANK($C72),"",VLOOKUP($C72,'Ausgabe Zeiten'!M:AV,36,0))</f>
        <v>2.2599884259259073E-2</v>
      </c>
      <c r="U72" s="208"/>
      <c r="V72" s="198"/>
      <c r="W72" s="208"/>
    </row>
    <row r="73" spans="2:23" s="197" customFormat="1" ht="27.75" customHeight="1">
      <c r="B73" s="234">
        <f t="shared" si="5"/>
        <v>67</v>
      </c>
      <c r="C73" s="233">
        <v>9</v>
      </c>
      <c r="D73" s="235">
        <f>IF(ISBLANK($C73),"",VLOOKUP($C73,Teilnehmer!$B$4:$K$200,2,0))</f>
        <v>3</v>
      </c>
      <c r="E73" s="235">
        <f>IF(ISBLANK($C73),"",VLOOKUP($C73,Teilnehmer!$B$4:$K$200,3,0))</f>
        <v>11</v>
      </c>
      <c r="F73" s="181" t="str">
        <f>IF(ISBLANK($C73),"",VLOOKUP($C73,Teilnehmer!$B$4:$K$200,4,0))</f>
        <v>Stütz Ralf</v>
      </c>
      <c r="G73" s="206" t="str">
        <f>IF(ISBLANK($C73),"",VLOOKUP($C73,Teilnehmer!$B$4:$K$200,5,0))</f>
        <v>-</v>
      </c>
      <c r="H73" s="192" t="str">
        <f>IF(ISBLANK($C73),"",VLOOKUP($C73,Teilnehmer!$B$4:$K$200,6,0))</f>
        <v>-</v>
      </c>
      <c r="I73" s="181" t="str">
        <f>IF(ISBLANK($C73),"",VLOOKUP($C73,Teilnehmer!$B$4:$K$200,7,0))</f>
        <v>Hertfelder Albert</v>
      </c>
      <c r="J73" s="206" t="str">
        <f>IF(ISBLANK($C73),"",VLOOKUP($C73,Teilnehmer!$B$4:$K$200,8,0))</f>
        <v>-</v>
      </c>
      <c r="K73" s="192" t="str">
        <f>IF(ISBLANK($C73),"",VLOOKUP($C73,Teilnehmer!$B$4:$K$200,9,0))</f>
        <v>-</v>
      </c>
      <c r="L73" s="206" t="str">
        <f>IF(ISBLANK($C73),"",VLOOKUP($C73,Teilnehmer!$B$4:$K$200,10,0))</f>
        <v>Mitsubishi Lancer EVO</v>
      </c>
      <c r="M73" s="207">
        <f>IF(ISBLANK($C73),"",VLOOKUP($C73,'Ausgabe Zeiten'!M:AV,4,0))</f>
        <v>1.0416666666666666E-2</v>
      </c>
      <c r="N73" s="207" t="str">
        <f>IF(ISBLANK($C73),"",VLOOKUP($C73,'Ausgabe Zeiten'!M:AV,9,0))</f>
        <v>ADW</v>
      </c>
      <c r="O73" s="228" t="str">
        <f>IF(ISBLANK($C73),"",VLOOKUP($C73,'Ausgabe Zeiten'!M:AV,14,0))</f>
        <v>ADW</v>
      </c>
      <c r="P73" s="207" t="str">
        <f>IF(ISBLANK($C73),"",VLOOKUP($C73,'Ausgabe Zeiten'!M:AV,19,0))</f>
        <v>ADW</v>
      </c>
      <c r="Q73" s="207" t="str">
        <f>IF(ISBLANK($C73),"",VLOOKUP($C73,'Ausgabe Zeiten'!M:AV,24,0))</f>
        <v>ADW</v>
      </c>
      <c r="R73" s="207">
        <f>IF(ISBLANK($C73),"",VLOOKUP($C73,'Ausgabe Zeiten'!M:AV,29,0))</f>
        <v>0</v>
      </c>
      <c r="S73" s="207">
        <f>IF(ISBLANK($C73),"",VLOOKUP($C73,'Ausgabe Zeiten'!M:AV,35,0))</f>
        <v>0</v>
      </c>
      <c r="T73" s="207" t="str">
        <f>IF(ISBLANK($C73),"",VLOOKUP($C73,'Ausgabe Zeiten'!M:AV,36,0))</f>
        <v>ADW</v>
      </c>
      <c r="U73" s="208"/>
      <c r="V73" s="198"/>
      <c r="W73" s="208"/>
    </row>
    <row r="74" spans="2:23" s="197" customFormat="1" ht="27.75" customHeight="1">
      <c r="B74" s="234">
        <f t="shared" si="5"/>
        <v>68</v>
      </c>
      <c r="C74" s="233">
        <v>30</v>
      </c>
      <c r="D74" s="235">
        <f>IF(ISBLANK($C74),"",VLOOKUP($C74,Teilnehmer!$B$4:$K$200,2,0))</f>
        <v>2</v>
      </c>
      <c r="E74" s="235">
        <f>IF(ISBLANK($C74),"",VLOOKUP($C74,Teilnehmer!$B$4:$K$200,3,0))</f>
        <v>9</v>
      </c>
      <c r="F74" s="181" t="str">
        <f>IF(ISBLANK($C74),"",VLOOKUP($C74,Teilnehmer!$B$4:$K$200,4,0))</f>
        <v>Röhrig Christian</v>
      </c>
      <c r="G74" s="206" t="str">
        <f>IF(ISBLANK($C74),"",VLOOKUP($C74,Teilnehmer!$B$4:$K$200,5,0))</f>
        <v>-</v>
      </c>
      <c r="H74" s="192" t="str">
        <f>IF(ISBLANK($C74),"",VLOOKUP($C74,Teilnehmer!$B$4:$K$200,6,0))</f>
        <v>MSC Zorn</v>
      </c>
      <c r="I74" s="181" t="str">
        <f>IF(ISBLANK($C74),"",VLOOKUP($C74,Teilnehmer!$B$4:$K$200,7,0))</f>
        <v>Behnke Jonas</v>
      </c>
      <c r="J74" s="206" t="str">
        <f>IF(ISBLANK($C74),"",VLOOKUP($C74,Teilnehmer!$B$4:$K$200,8,0))</f>
        <v>-</v>
      </c>
      <c r="K74" s="192" t="str">
        <f>IF(ISBLANK($C74),"",VLOOKUP($C74,Teilnehmer!$B$4:$K$200,9,0))</f>
        <v>MSC Zorn</v>
      </c>
      <c r="L74" s="206" t="str">
        <f>IF(ISBLANK($C74),"",VLOOKUP($C74,Teilnehmer!$B$4:$K$200,10,0))</f>
        <v>Peugeot 309 GTI</v>
      </c>
      <c r="M74" s="207" t="str">
        <f>IF(ISBLANK($C74),"",VLOOKUP($C74,'Ausgabe Zeiten'!M:AV,4,0))</f>
        <v>ADW</v>
      </c>
      <c r="N74" s="207" t="str">
        <f>IF(ISBLANK($C74),"",VLOOKUP($C74,'Ausgabe Zeiten'!M:AV,9,0))</f>
        <v>ADW</v>
      </c>
      <c r="O74" s="228" t="str">
        <f>IF(ISBLANK($C74),"",VLOOKUP($C74,'Ausgabe Zeiten'!M:AV,14,0))</f>
        <v>ADW</v>
      </c>
      <c r="P74" s="207" t="str">
        <f>IF(ISBLANK($C74),"",VLOOKUP($C74,'Ausgabe Zeiten'!M:AV,19,0))</f>
        <v>ADW</v>
      </c>
      <c r="Q74" s="207" t="str">
        <f>IF(ISBLANK($C74),"",VLOOKUP($C74,'Ausgabe Zeiten'!M:AV,24,0))</f>
        <v>ADW</v>
      </c>
      <c r="R74" s="207">
        <f>IF(ISBLANK($C74),"",VLOOKUP($C74,'Ausgabe Zeiten'!M:AV,29,0))</f>
        <v>0</v>
      </c>
      <c r="S74" s="207">
        <f>IF(ISBLANK($C74),"",VLOOKUP($C74,'Ausgabe Zeiten'!M:AV,35,0))</f>
        <v>0</v>
      </c>
      <c r="T74" s="207" t="str">
        <f>IF(ISBLANK($C74),"",VLOOKUP($C74,'Ausgabe Zeiten'!M:AV,36,0))</f>
        <v>ADW</v>
      </c>
      <c r="U74" s="208"/>
      <c r="V74" s="198"/>
      <c r="W74" s="208"/>
    </row>
    <row r="75" spans="2:23" s="197" customFormat="1" ht="27.75" customHeight="1">
      <c r="B75" s="234">
        <f t="shared" si="5"/>
        <v>69</v>
      </c>
      <c r="C75" s="233">
        <v>36</v>
      </c>
      <c r="D75" s="235">
        <f>IF(ISBLANK($C75),"",VLOOKUP($C75,Teilnehmer!$B$4:$K$200,2,0))</f>
        <v>2</v>
      </c>
      <c r="E75" s="235">
        <f>IF(ISBLANK($C75),"",VLOOKUP($C75,Teilnehmer!$B$4:$K$200,3,0))</f>
        <v>9</v>
      </c>
      <c r="F75" s="181" t="str">
        <f>IF(ISBLANK($C75),"",VLOOKUP($C75,Teilnehmer!$B$4:$K$200,4,0))</f>
        <v>Schwarz Timo</v>
      </c>
      <c r="G75" s="206" t="str">
        <f>IF(ISBLANK($C75),"",VLOOKUP($C75,Teilnehmer!$B$4:$K$200,5,0))</f>
        <v>-</v>
      </c>
      <c r="H75" s="192" t="str">
        <f>IF(ISBLANK($C75),"",VLOOKUP($C75,Teilnehmer!$B$4:$K$200,6,0))</f>
        <v>-</v>
      </c>
      <c r="I75" s="181" t="str">
        <f>IF(ISBLANK($C75),"",VLOOKUP($C75,Teilnehmer!$B$4:$K$200,7,0))</f>
        <v>Himmelstoß Florian</v>
      </c>
      <c r="J75" s="206" t="str">
        <f>IF(ISBLANK($C75),"",VLOOKUP($C75,Teilnehmer!$B$4:$K$200,8,0))</f>
        <v>-</v>
      </c>
      <c r="K75" s="192" t="str">
        <f>IF(ISBLANK($C75),"",VLOOKUP($C75,Teilnehmer!$B$4:$K$200,9,0))</f>
        <v>-</v>
      </c>
      <c r="L75" s="206" t="str">
        <f>IF(ISBLANK($C75),"",VLOOKUP($C75,Teilnehmer!$B$4:$K$200,10,0))</f>
        <v>Opel Manta B</v>
      </c>
      <c r="M75" s="207" t="str">
        <f>IF(ISBLANK($C75),"",VLOOKUP($C75,'Ausgabe Zeiten'!M:AV,4,0))</f>
        <v>ADW</v>
      </c>
      <c r="N75" s="207" t="str">
        <f>IF(ISBLANK($C75),"",VLOOKUP($C75,'Ausgabe Zeiten'!M:AV,9,0))</f>
        <v>ADW</v>
      </c>
      <c r="O75" s="228" t="str">
        <f>IF(ISBLANK($C75),"",VLOOKUP($C75,'Ausgabe Zeiten'!M:AV,14,0))</f>
        <v>ADW</v>
      </c>
      <c r="P75" s="207" t="str">
        <f>IF(ISBLANK($C75),"",VLOOKUP($C75,'Ausgabe Zeiten'!M:AV,19,0))</f>
        <v>ADW</v>
      </c>
      <c r="Q75" s="207" t="str">
        <f>IF(ISBLANK($C75),"",VLOOKUP($C75,'Ausgabe Zeiten'!M:AV,24,0))</f>
        <v>ADW</v>
      </c>
      <c r="R75" s="207">
        <f>IF(ISBLANK($C75),"",VLOOKUP($C75,'Ausgabe Zeiten'!M:AV,29,0))</f>
        <v>0</v>
      </c>
      <c r="S75" s="207">
        <f>IF(ISBLANK($C75),"",VLOOKUP($C75,'Ausgabe Zeiten'!M:AV,35,0))</f>
        <v>0</v>
      </c>
      <c r="T75" s="207" t="str">
        <f>IF(ISBLANK($C75),"",VLOOKUP($C75,'Ausgabe Zeiten'!M:AV,36,0))</f>
        <v>ADW</v>
      </c>
      <c r="U75" s="208"/>
      <c r="V75" s="198"/>
      <c r="W75" s="208"/>
    </row>
    <row r="76" spans="2:23" s="197" customFormat="1" ht="27.75" customHeight="1">
      <c r="B76" s="234">
        <f t="shared" si="5"/>
        <v>70</v>
      </c>
      <c r="C76" s="233">
        <v>43</v>
      </c>
      <c r="D76" s="235">
        <f>IF(ISBLANK($C76),"",VLOOKUP($C76,Teilnehmer!$B$4:$K$200,2,0))</f>
        <v>2</v>
      </c>
      <c r="E76" s="235">
        <f>IF(ISBLANK($C76),"",VLOOKUP($C76,Teilnehmer!$B$4:$K$200,3,0))</f>
        <v>8</v>
      </c>
      <c r="F76" s="181" t="str">
        <f>IF(ISBLANK($C76),"",VLOOKUP($C76,Teilnehmer!$B$4:$K$200,4,0))</f>
        <v>Schmitt Thomas</v>
      </c>
      <c r="G76" s="206">
        <f>IF(ISBLANK($C76),"",VLOOKUP($C76,Teilnehmer!$B$4:$K$200,5,0))</f>
        <v>15607</v>
      </c>
      <c r="H76" s="192" t="str">
        <f>IF(ISBLANK($C76),"",VLOOKUP($C76,Teilnehmer!$B$4:$K$200,6,0))</f>
        <v>-</v>
      </c>
      <c r="I76" s="181" t="str">
        <f>IF(ISBLANK($C76),"",VLOOKUP($C76,Teilnehmer!$B$4:$K$200,7,0))</f>
        <v>Sommer Petra</v>
      </c>
      <c r="J76" s="206">
        <f>IF(ISBLANK($C76),"",VLOOKUP($C76,Teilnehmer!$B$4:$K$200,8,0))</f>
        <v>15606</v>
      </c>
      <c r="K76" s="192" t="str">
        <f>IF(ISBLANK($C76),"",VLOOKUP($C76,Teilnehmer!$B$4:$K$200,9,0))</f>
        <v>-</v>
      </c>
      <c r="L76" s="206" t="str">
        <f>IF(ISBLANK($C76),"",VLOOKUP($C76,Teilnehmer!$B$4:$K$200,10,0))</f>
        <v>Toyota Corolla GT</v>
      </c>
      <c r="M76" s="207" t="str">
        <f>IF(ISBLANK($C76),"",VLOOKUP($C76,'Ausgabe Zeiten'!M:AV,4,0))</f>
        <v>ADW</v>
      </c>
      <c r="N76" s="207" t="str">
        <f>IF(ISBLANK($C76),"",VLOOKUP($C76,'Ausgabe Zeiten'!M:AV,9,0))</f>
        <v>ADW</v>
      </c>
      <c r="O76" s="228" t="str">
        <f>IF(ISBLANK($C76),"",VLOOKUP($C76,'Ausgabe Zeiten'!M:AV,14,0))</f>
        <v>ADW</v>
      </c>
      <c r="P76" s="207" t="str">
        <f>IF(ISBLANK($C76),"",VLOOKUP($C76,'Ausgabe Zeiten'!M:AV,19,0))</f>
        <v>ADW</v>
      </c>
      <c r="Q76" s="207" t="str">
        <f>IF(ISBLANK($C76),"",VLOOKUP($C76,'Ausgabe Zeiten'!M:AV,24,0))</f>
        <v>ADW</v>
      </c>
      <c r="R76" s="207">
        <f>IF(ISBLANK($C76),"",VLOOKUP($C76,'Ausgabe Zeiten'!M:AV,29,0))</f>
        <v>0</v>
      </c>
      <c r="S76" s="207">
        <f>IF(ISBLANK($C76),"",VLOOKUP($C76,'Ausgabe Zeiten'!M:AV,35,0))</f>
        <v>0</v>
      </c>
      <c r="T76" s="207" t="str">
        <f>IF(ISBLANK($C76),"",VLOOKUP($C76,'Ausgabe Zeiten'!M:AV,36,0))</f>
        <v>ADW</v>
      </c>
      <c r="U76" s="208"/>
      <c r="V76" s="198"/>
      <c r="W76" s="208"/>
    </row>
  </sheetData>
  <autoFilter ref="C6:T6" xr:uid="{7B828EDB-901C-404C-98B5-E64A905CC40B}">
    <sortState xmlns:xlrd2="http://schemas.microsoft.com/office/spreadsheetml/2017/richdata2" ref="C7:T76">
      <sortCondition ref="M6"/>
    </sortState>
  </autoFilter>
  <mergeCells count="2">
    <mergeCell ref="U3:U6"/>
    <mergeCell ref="V3:V6"/>
  </mergeCells>
  <conditionalFormatting sqref="M5">
    <cfRule type="cellIs" dxfId="4" priority="2" operator="lessThan">
      <formula>0</formula>
    </cfRule>
    <cfRule type="cellIs" dxfId="3" priority="3" operator="greaterThan">
      <formula>0</formula>
    </cfRule>
  </conditionalFormatting>
  <conditionalFormatting sqref="U1:U3 U7:U1048576">
    <cfRule type="cellIs" dxfId="2" priority="5" operator="equal">
      <formula>"X"</formula>
    </cfRule>
  </conditionalFormatting>
  <conditionalFormatting sqref="V1:V3 V7:V1048576">
    <cfRule type="cellIs" dxfId="1" priority="4" operator="equal">
      <formula>"Sortierung A bis Z"</formula>
    </cfRule>
  </conditionalFormatting>
  <conditionalFormatting sqref="C7:C76">
    <cfRule type="duplicateValues" dxfId="0" priority="1440"/>
  </conditionalFormatting>
  <printOptions horizontalCentered="1"/>
  <pageMargins left="0.23622047244094491" right="0.23622047244094491" top="0.74803149606299213" bottom="0.74803149606299213" header="0.31496062992125984" footer="0.31496062992125984"/>
  <pageSetup paperSize="9" scale="55" fitToWidth="0" fitToHeight="0" orientation="portrait" r:id="rId1"/>
  <rowBreaks count="1" manualBreakCount="1">
    <brk id="34" min="1" max="19"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CEDB-A02D-43C1-960D-502323A76713}">
  <sheetPr codeName="Tabelle15">
    <pageSetUpPr fitToPage="1"/>
  </sheetPr>
  <dimension ref="B1:K80"/>
  <sheetViews>
    <sheetView showGridLines="0" zoomScaleNormal="100" workbookViewId="0">
      <pane ySplit="5" topLeftCell="A6" activePane="bottomLeft" state="frozen"/>
      <selection pane="bottomLeft" activeCell="K3" sqref="K3"/>
    </sheetView>
  </sheetViews>
  <sheetFormatPr defaultColWidth="11.42578125" defaultRowHeight="15"/>
  <cols>
    <col min="1" max="1" width="2.85546875" style="25" customWidth="1"/>
    <col min="2" max="2" width="12" style="27" customWidth="1"/>
    <col min="3" max="3" width="12.140625" style="28" bestFit="1" customWidth="1"/>
    <col min="4" max="4" width="8.7109375" style="28" customWidth="1"/>
    <col min="5" max="5" width="11.5703125" style="27" bestFit="1" customWidth="1"/>
    <col min="6" max="6" width="12.140625" style="28" bestFit="1" customWidth="1"/>
    <col min="7" max="7" width="8.7109375" style="28" customWidth="1"/>
    <col min="8" max="8" width="11.5703125" style="25" bestFit="1" customWidth="1"/>
    <col min="9" max="9" width="15.7109375" style="25" customWidth="1"/>
    <col min="10" max="10" width="11.5703125" style="25" bestFit="1" customWidth="1"/>
    <col min="11" max="16384" width="11.42578125" style="25"/>
  </cols>
  <sheetData>
    <row r="1" spans="2:11" ht="23.25">
      <c r="B1" s="71" t="str">
        <f>Teilnehmer!B1</f>
        <v>20. Fürst von Wrede Rallye 2024</v>
      </c>
    </row>
    <row r="2" spans="2:11" ht="18">
      <c r="B2" s="165" t="s">
        <v>343</v>
      </c>
      <c r="C2" s="25"/>
      <c r="D2" s="25"/>
      <c r="E2" s="26"/>
      <c r="F2" s="26"/>
      <c r="G2" s="26"/>
      <c r="J2" s="171" t="s">
        <v>344</v>
      </c>
      <c r="K2" s="172">
        <v>0.33402777777777776</v>
      </c>
    </row>
    <row r="3" spans="2:11" ht="27.75">
      <c r="B3" s="24"/>
      <c r="C3" s="25"/>
      <c r="D3" s="25"/>
      <c r="E3" s="26"/>
      <c r="F3" s="26"/>
      <c r="G3" s="26"/>
      <c r="J3" s="171" t="s">
        <v>345</v>
      </c>
      <c r="K3" s="172">
        <v>6.9444444444444447E-4</v>
      </c>
    </row>
    <row r="4" spans="2:11">
      <c r="C4" s="27"/>
      <c r="D4" s="27"/>
    </row>
    <row r="5" spans="2:11" ht="26.25" customHeight="1">
      <c r="B5" s="166" t="s">
        <v>346</v>
      </c>
      <c r="C5" s="167" t="s">
        <v>347</v>
      </c>
      <c r="D5" s="168"/>
      <c r="E5" s="166" t="s">
        <v>346</v>
      </c>
      <c r="F5" s="167" t="s">
        <v>347</v>
      </c>
      <c r="G5" s="27"/>
    </row>
    <row r="6" spans="2:11" ht="18">
      <c r="B6" s="169">
        <v>0</v>
      </c>
      <c r="C6" s="170"/>
      <c r="D6" s="29"/>
      <c r="E6" s="29"/>
      <c r="F6" s="29"/>
      <c r="G6" s="29"/>
      <c r="J6" s="30"/>
    </row>
    <row r="7" spans="2:11" ht="5.25" customHeight="1">
      <c r="B7" s="25"/>
      <c r="C7" s="25"/>
      <c r="D7" s="30">
        <v>1</v>
      </c>
      <c r="E7" s="30">
        <v>1</v>
      </c>
      <c r="F7" s="30">
        <v>1</v>
      </c>
      <c r="G7" s="30">
        <v>1</v>
      </c>
      <c r="J7" s="30"/>
    </row>
    <row r="8" spans="2:11" ht="24.75" customHeight="1">
      <c r="B8" s="169">
        <v>1</v>
      </c>
      <c r="C8" s="170">
        <f>K2</f>
        <v>0.33402777777777776</v>
      </c>
      <c r="D8" s="30">
        <v>1</v>
      </c>
      <c r="E8" s="169">
        <v>33</v>
      </c>
      <c r="F8" s="170">
        <f>C39+$K$3</f>
        <v>0.3562499999999999</v>
      </c>
      <c r="G8" s="30">
        <v>1</v>
      </c>
      <c r="J8" s="30"/>
    </row>
    <row r="9" spans="2:11" ht="24.75" customHeight="1">
      <c r="B9" s="169">
        <v>2</v>
      </c>
      <c r="C9" s="170">
        <f t="shared" ref="C9:C39" si="0">C8+$K$3</f>
        <v>0.3347222222222222</v>
      </c>
      <c r="D9" s="30">
        <v>1</v>
      </c>
      <c r="E9" s="169">
        <v>34</v>
      </c>
      <c r="F9" s="170">
        <f t="shared" ref="F9:F35" si="1">F8+$K$3</f>
        <v>0.35694444444444434</v>
      </c>
      <c r="G9" s="30">
        <v>1</v>
      </c>
      <c r="J9" s="30"/>
    </row>
    <row r="10" spans="2:11" ht="24.75" customHeight="1">
      <c r="B10" s="169">
        <v>3</v>
      </c>
      <c r="C10" s="170">
        <f t="shared" si="0"/>
        <v>0.33541666666666664</v>
      </c>
      <c r="D10" s="30">
        <v>1</v>
      </c>
      <c r="E10" s="169">
        <v>35</v>
      </c>
      <c r="F10" s="170">
        <f t="shared" si="1"/>
        <v>0.35763888888888878</v>
      </c>
      <c r="G10" s="30">
        <v>1</v>
      </c>
      <c r="J10" s="30"/>
    </row>
    <row r="11" spans="2:11" ht="24.75" customHeight="1">
      <c r="B11" s="169">
        <v>4</v>
      </c>
      <c r="C11" s="170">
        <f t="shared" si="0"/>
        <v>0.33611111111111108</v>
      </c>
      <c r="D11" s="30">
        <v>1</v>
      </c>
      <c r="E11" s="169">
        <v>36</v>
      </c>
      <c r="F11" s="170">
        <f t="shared" si="1"/>
        <v>0.35833333333333323</v>
      </c>
      <c r="G11" s="30">
        <v>1</v>
      </c>
      <c r="J11" s="30"/>
    </row>
    <row r="12" spans="2:11" ht="24.75" customHeight="1">
      <c r="B12" s="169">
        <v>5</v>
      </c>
      <c r="C12" s="170">
        <f t="shared" si="0"/>
        <v>0.33680555555555552</v>
      </c>
      <c r="D12" s="30">
        <v>1</v>
      </c>
      <c r="E12" s="169">
        <v>37</v>
      </c>
      <c r="F12" s="170">
        <f t="shared" si="1"/>
        <v>0.35902777777777767</v>
      </c>
      <c r="G12" s="30">
        <v>1</v>
      </c>
    </row>
    <row r="13" spans="2:11" ht="24.75" customHeight="1">
      <c r="B13" s="169">
        <v>6</v>
      </c>
      <c r="C13" s="170">
        <f t="shared" si="0"/>
        <v>0.33749999999999997</v>
      </c>
      <c r="D13" s="30">
        <v>1</v>
      </c>
      <c r="E13" s="169">
        <v>38</v>
      </c>
      <c r="F13" s="170">
        <f t="shared" si="1"/>
        <v>0.35972222222222211</v>
      </c>
      <c r="G13" s="30">
        <v>1</v>
      </c>
    </row>
    <row r="14" spans="2:11" ht="24.75" customHeight="1">
      <c r="B14" s="169">
        <v>7</v>
      </c>
      <c r="C14" s="170">
        <f t="shared" si="0"/>
        <v>0.33819444444444441</v>
      </c>
      <c r="D14" s="30">
        <v>1</v>
      </c>
      <c r="E14" s="169">
        <v>39</v>
      </c>
      <c r="F14" s="170">
        <f t="shared" si="1"/>
        <v>0.36041666666666655</v>
      </c>
      <c r="G14" s="30">
        <v>1</v>
      </c>
    </row>
    <row r="15" spans="2:11" ht="24.75" customHeight="1">
      <c r="B15" s="169">
        <v>8</v>
      </c>
      <c r="C15" s="170">
        <f t="shared" si="0"/>
        <v>0.33888888888888885</v>
      </c>
      <c r="D15" s="30">
        <v>1</v>
      </c>
      <c r="E15" s="169">
        <v>40</v>
      </c>
      <c r="F15" s="170">
        <f t="shared" si="1"/>
        <v>0.36111111111111099</v>
      </c>
      <c r="G15" s="30">
        <v>1</v>
      </c>
    </row>
    <row r="16" spans="2:11" ht="24.75" customHeight="1">
      <c r="B16" s="169">
        <v>9</v>
      </c>
      <c r="C16" s="170">
        <f t="shared" si="0"/>
        <v>0.33958333333333329</v>
      </c>
      <c r="D16" s="30">
        <v>1</v>
      </c>
      <c r="E16" s="169">
        <v>41</v>
      </c>
      <c r="F16" s="170">
        <f t="shared" si="1"/>
        <v>0.36180555555555544</v>
      </c>
      <c r="G16" s="30">
        <v>1</v>
      </c>
      <c r="J16" s="31"/>
    </row>
    <row r="17" spans="2:9" ht="24.75" customHeight="1">
      <c r="B17" s="169">
        <v>10</v>
      </c>
      <c r="C17" s="170">
        <f t="shared" si="0"/>
        <v>0.34027777777777773</v>
      </c>
      <c r="D17" s="30">
        <v>1</v>
      </c>
      <c r="E17" s="169">
        <v>42</v>
      </c>
      <c r="F17" s="170">
        <f t="shared" si="1"/>
        <v>0.36249999999999988</v>
      </c>
      <c r="G17" s="30">
        <v>1</v>
      </c>
    </row>
    <row r="18" spans="2:9" ht="24.75" customHeight="1">
      <c r="B18" s="169">
        <v>11</v>
      </c>
      <c r="C18" s="170">
        <f t="shared" si="0"/>
        <v>0.34097222222222218</v>
      </c>
      <c r="D18" s="30">
        <v>1</v>
      </c>
      <c r="E18" s="169">
        <v>43</v>
      </c>
      <c r="F18" s="170">
        <f t="shared" si="1"/>
        <v>0.36319444444444432</v>
      </c>
      <c r="G18" s="30">
        <v>1</v>
      </c>
    </row>
    <row r="19" spans="2:9" ht="24.75" customHeight="1">
      <c r="B19" s="169">
        <v>12</v>
      </c>
      <c r="C19" s="170">
        <f t="shared" si="0"/>
        <v>0.34166666666666662</v>
      </c>
      <c r="D19" s="30">
        <v>1</v>
      </c>
      <c r="E19" s="169">
        <v>44</v>
      </c>
      <c r="F19" s="170">
        <f t="shared" si="1"/>
        <v>0.36388888888888876</v>
      </c>
      <c r="G19" s="30">
        <v>1</v>
      </c>
    </row>
    <row r="20" spans="2:9" ht="24.75" customHeight="1">
      <c r="B20" s="169">
        <v>13</v>
      </c>
      <c r="C20" s="170">
        <f t="shared" si="0"/>
        <v>0.34236111111111106</v>
      </c>
      <c r="D20" s="30">
        <v>1</v>
      </c>
      <c r="E20" s="169">
        <v>45</v>
      </c>
      <c r="F20" s="170">
        <f t="shared" si="1"/>
        <v>0.3645833333333332</v>
      </c>
      <c r="G20" s="30">
        <v>1</v>
      </c>
      <c r="H20"/>
      <c r="I20"/>
    </row>
    <row r="21" spans="2:9" ht="24.75" customHeight="1">
      <c r="B21" s="169">
        <v>14</v>
      </c>
      <c r="C21" s="170">
        <f t="shared" si="0"/>
        <v>0.3430555555555555</v>
      </c>
      <c r="D21" s="30">
        <v>1</v>
      </c>
      <c r="E21" s="169">
        <v>46</v>
      </c>
      <c r="F21" s="170">
        <f t="shared" si="1"/>
        <v>0.36527777777777765</v>
      </c>
      <c r="G21" s="30">
        <v>1</v>
      </c>
      <c r="H21"/>
      <c r="I21"/>
    </row>
    <row r="22" spans="2:9" ht="24.75" customHeight="1">
      <c r="B22" s="169">
        <v>15</v>
      </c>
      <c r="C22" s="170">
        <f t="shared" si="0"/>
        <v>0.34374999999999994</v>
      </c>
      <c r="D22" s="30">
        <v>1</v>
      </c>
      <c r="E22" s="169">
        <v>47</v>
      </c>
      <c r="F22" s="170">
        <f t="shared" si="1"/>
        <v>0.36597222222222209</v>
      </c>
      <c r="G22" s="30">
        <v>1</v>
      </c>
      <c r="H22"/>
      <c r="I22"/>
    </row>
    <row r="23" spans="2:9" ht="24.75" customHeight="1">
      <c r="B23" s="169">
        <v>16</v>
      </c>
      <c r="C23" s="170">
        <f t="shared" si="0"/>
        <v>0.34444444444444439</v>
      </c>
      <c r="D23" s="30">
        <v>1</v>
      </c>
      <c r="E23" s="169">
        <v>48</v>
      </c>
      <c r="F23" s="170">
        <f t="shared" si="1"/>
        <v>0.36666666666666653</v>
      </c>
      <c r="G23" s="30">
        <v>1</v>
      </c>
      <c r="H23"/>
      <c r="I23"/>
    </row>
    <row r="24" spans="2:9" ht="24.75" customHeight="1">
      <c r="B24" s="169">
        <v>17</v>
      </c>
      <c r="C24" s="170">
        <f t="shared" si="0"/>
        <v>0.34513888888888883</v>
      </c>
      <c r="D24" s="30">
        <v>1</v>
      </c>
      <c r="E24" s="169">
        <v>49</v>
      </c>
      <c r="F24" s="170">
        <f t="shared" si="1"/>
        <v>0.36736111111111097</v>
      </c>
      <c r="G24" s="30">
        <v>1</v>
      </c>
      <c r="H24"/>
      <c r="I24"/>
    </row>
    <row r="25" spans="2:9" ht="24.75" customHeight="1">
      <c r="B25" s="169">
        <v>18</v>
      </c>
      <c r="C25" s="170">
        <f t="shared" si="0"/>
        <v>0.34583333333333327</v>
      </c>
      <c r="D25" s="30">
        <v>1</v>
      </c>
      <c r="E25" s="169">
        <v>50</v>
      </c>
      <c r="F25" s="170">
        <f t="shared" si="1"/>
        <v>0.36805555555555541</v>
      </c>
      <c r="G25" s="30">
        <v>1</v>
      </c>
      <c r="H25"/>
      <c r="I25"/>
    </row>
    <row r="26" spans="2:9" ht="24.75" customHeight="1">
      <c r="B26" s="169">
        <v>19</v>
      </c>
      <c r="C26" s="170">
        <f t="shared" si="0"/>
        <v>0.34652777777777771</v>
      </c>
      <c r="D26" s="30">
        <v>1</v>
      </c>
      <c r="E26" s="169">
        <v>51</v>
      </c>
      <c r="F26" s="170">
        <f t="shared" si="1"/>
        <v>0.36874999999999986</v>
      </c>
      <c r="G26" s="30">
        <v>1</v>
      </c>
      <c r="H26"/>
      <c r="I26"/>
    </row>
    <row r="27" spans="2:9" ht="24.75" customHeight="1">
      <c r="B27" s="169">
        <v>20</v>
      </c>
      <c r="C27" s="170">
        <f t="shared" si="0"/>
        <v>0.34722222222222215</v>
      </c>
      <c r="D27" s="30">
        <v>1</v>
      </c>
      <c r="E27" s="169">
        <v>52</v>
      </c>
      <c r="F27" s="170">
        <f t="shared" si="1"/>
        <v>0.3694444444444443</v>
      </c>
      <c r="G27" s="30">
        <v>1</v>
      </c>
      <c r="H27"/>
      <c r="I27"/>
    </row>
    <row r="28" spans="2:9" ht="24.75" customHeight="1">
      <c r="B28" s="169">
        <v>21</v>
      </c>
      <c r="C28" s="170">
        <f t="shared" si="0"/>
        <v>0.3479166666666666</v>
      </c>
      <c r="D28" s="30">
        <v>1</v>
      </c>
      <c r="E28" s="169">
        <v>53</v>
      </c>
      <c r="F28" s="170">
        <f t="shared" si="1"/>
        <v>0.37013888888888874</v>
      </c>
      <c r="G28" s="30">
        <v>1</v>
      </c>
      <c r="H28"/>
      <c r="I28"/>
    </row>
    <row r="29" spans="2:9" ht="24.75" customHeight="1">
      <c r="B29" s="169">
        <v>22</v>
      </c>
      <c r="C29" s="170">
        <f t="shared" si="0"/>
        <v>0.34861111111111104</v>
      </c>
      <c r="D29" s="30">
        <v>1</v>
      </c>
      <c r="E29" s="169">
        <v>54</v>
      </c>
      <c r="F29" s="170">
        <f t="shared" si="1"/>
        <v>0.37083333333333318</v>
      </c>
      <c r="G29" s="30">
        <v>1</v>
      </c>
      <c r="H29"/>
      <c r="I29"/>
    </row>
    <row r="30" spans="2:9" ht="24.75" customHeight="1">
      <c r="B30" s="169">
        <v>23</v>
      </c>
      <c r="C30" s="170">
        <f t="shared" si="0"/>
        <v>0.34930555555555548</v>
      </c>
      <c r="D30" s="30">
        <v>1</v>
      </c>
      <c r="E30" s="169">
        <v>55</v>
      </c>
      <c r="F30" s="170">
        <f t="shared" si="1"/>
        <v>0.37152777777777762</v>
      </c>
      <c r="G30" s="30">
        <v>1</v>
      </c>
      <c r="H30"/>
      <c r="I30"/>
    </row>
    <row r="31" spans="2:9" ht="24.75" customHeight="1">
      <c r="B31" s="169">
        <v>24</v>
      </c>
      <c r="C31" s="170">
        <f t="shared" si="0"/>
        <v>0.34999999999999992</v>
      </c>
      <c r="D31" s="30">
        <v>1</v>
      </c>
      <c r="E31" s="169">
        <v>56</v>
      </c>
      <c r="F31" s="170">
        <f t="shared" si="1"/>
        <v>0.37222222222222207</v>
      </c>
      <c r="G31" s="30">
        <v>1</v>
      </c>
      <c r="H31"/>
      <c r="I31"/>
    </row>
    <row r="32" spans="2:9" ht="24.75" customHeight="1">
      <c r="B32" s="169">
        <v>25</v>
      </c>
      <c r="C32" s="170">
        <f t="shared" si="0"/>
        <v>0.35069444444444436</v>
      </c>
      <c r="D32" s="30">
        <v>1</v>
      </c>
      <c r="E32" s="169">
        <v>57</v>
      </c>
      <c r="F32" s="170">
        <f t="shared" si="1"/>
        <v>0.37291666666666651</v>
      </c>
      <c r="G32" s="30">
        <v>1</v>
      </c>
      <c r="H32"/>
      <c r="I32"/>
    </row>
    <row r="33" spans="2:9" ht="24.75" customHeight="1">
      <c r="B33" s="169">
        <v>26</v>
      </c>
      <c r="C33" s="170">
        <f t="shared" si="0"/>
        <v>0.35138888888888881</v>
      </c>
      <c r="D33" s="30">
        <v>1</v>
      </c>
      <c r="E33" s="169">
        <v>58</v>
      </c>
      <c r="F33" s="170">
        <f t="shared" si="1"/>
        <v>0.37361111111111095</v>
      </c>
      <c r="G33" s="30">
        <v>1</v>
      </c>
      <c r="H33"/>
      <c r="I33"/>
    </row>
    <row r="34" spans="2:9" ht="24.75" customHeight="1">
      <c r="B34" s="169">
        <v>27</v>
      </c>
      <c r="C34" s="170">
        <f t="shared" si="0"/>
        <v>0.35208333333333325</v>
      </c>
      <c r="D34" s="30">
        <v>1</v>
      </c>
      <c r="E34" s="169">
        <v>59</v>
      </c>
      <c r="F34" s="170">
        <f t="shared" si="1"/>
        <v>0.37430555555555539</v>
      </c>
      <c r="G34" s="30">
        <v>1</v>
      </c>
      <c r="H34" s="28"/>
      <c r="I34" s="29"/>
    </row>
    <row r="35" spans="2:9" ht="24.75" customHeight="1">
      <c r="B35" s="169">
        <v>28</v>
      </c>
      <c r="C35" s="170">
        <f t="shared" si="0"/>
        <v>0.35277777777777769</v>
      </c>
      <c r="D35" s="30">
        <v>1</v>
      </c>
      <c r="E35" s="169">
        <v>60</v>
      </c>
      <c r="F35" s="170">
        <f t="shared" si="1"/>
        <v>0.37499999999999983</v>
      </c>
      <c r="G35" s="30">
        <v>1</v>
      </c>
      <c r="H35" s="28"/>
      <c r="I35" s="29"/>
    </row>
    <row r="36" spans="2:9" ht="24.75" customHeight="1">
      <c r="B36" s="169">
        <v>29</v>
      </c>
      <c r="C36" s="170">
        <f t="shared" si="0"/>
        <v>0.35347222222222213</v>
      </c>
      <c r="D36" s="30">
        <v>1</v>
      </c>
      <c r="E36" s="30">
        <v>1</v>
      </c>
      <c r="F36" s="30">
        <v>1</v>
      </c>
      <c r="G36" s="30">
        <v>1</v>
      </c>
      <c r="H36" s="28"/>
      <c r="I36" s="29"/>
    </row>
    <row r="37" spans="2:9" ht="24.75" customHeight="1">
      <c r="B37" s="169">
        <v>30</v>
      </c>
      <c r="C37" s="170">
        <f t="shared" si="0"/>
        <v>0.35416666666666657</v>
      </c>
      <c r="D37" s="30">
        <v>1</v>
      </c>
      <c r="E37" s="30">
        <v>1</v>
      </c>
      <c r="F37" s="30">
        <v>1</v>
      </c>
      <c r="G37" s="30">
        <v>1</v>
      </c>
      <c r="H37" s="28"/>
    </row>
    <row r="38" spans="2:9" ht="24.75" customHeight="1">
      <c r="B38" s="169">
        <v>31</v>
      </c>
      <c r="C38" s="170">
        <f t="shared" si="0"/>
        <v>0.35486111111111102</v>
      </c>
      <c r="D38" s="30">
        <v>1</v>
      </c>
      <c r="E38" s="30"/>
      <c r="F38" s="30"/>
      <c r="G38" s="30">
        <v>1</v>
      </c>
    </row>
    <row r="39" spans="2:9" ht="24.75" customHeight="1">
      <c r="B39" s="169">
        <v>32</v>
      </c>
      <c r="C39" s="170">
        <f t="shared" si="0"/>
        <v>0.35555555555555546</v>
      </c>
      <c r="D39" s="30">
        <v>1</v>
      </c>
      <c r="E39" s="30"/>
      <c r="F39" s="30"/>
      <c r="G39" s="30">
        <v>1</v>
      </c>
    </row>
    <row r="40" spans="2:9" ht="24.75" customHeight="1">
      <c r="D40" s="30">
        <v>1</v>
      </c>
      <c r="E40" s="30"/>
      <c r="F40" s="30"/>
      <c r="G40" s="30">
        <v>1</v>
      </c>
    </row>
    <row r="41" spans="2:9" ht="24.75" customHeight="1">
      <c r="D41" s="30"/>
      <c r="E41" s="30"/>
      <c r="F41" s="30"/>
      <c r="G41" s="30"/>
    </row>
    <row r="42" spans="2:9" ht="24.75" customHeight="1">
      <c r="D42" s="30"/>
      <c r="E42" s="30"/>
      <c r="F42" s="30"/>
      <c r="G42" s="30"/>
    </row>
    <row r="43" spans="2:9" ht="24.75" customHeight="1">
      <c r="D43" s="30"/>
      <c r="E43" s="30"/>
      <c r="F43" s="30"/>
      <c r="G43" s="30"/>
    </row>
    <row r="44" spans="2:9" ht="24.75" customHeight="1">
      <c r="D44" s="30"/>
      <c r="E44" s="30"/>
      <c r="F44" s="30"/>
      <c r="G44" s="30"/>
    </row>
    <row r="45" spans="2:9" ht="24.75" customHeight="1">
      <c r="D45" s="30"/>
      <c r="E45" s="30"/>
      <c r="F45" s="30"/>
      <c r="G45" s="30"/>
    </row>
    <row r="46" spans="2:9">
      <c r="D46" s="30"/>
      <c r="G46" s="30"/>
    </row>
    <row r="47" spans="2:9">
      <c r="D47" s="30"/>
      <c r="E47" s="32"/>
      <c r="F47" s="33"/>
      <c r="G47" s="30"/>
    </row>
    <row r="48" spans="2:9">
      <c r="B48" s="28"/>
      <c r="G48" s="30"/>
    </row>
    <row r="50" spans="2:10" s="35" customFormat="1">
      <c r="B50" s="32"/>
      <c r="C50" s="33"/>
      <c r="D50" s="34"/>
      <c r="E50" s="27"/>
      <c r="F50" s="28"/>
      <c r="G50" s="34"/>
      <c r="J50" s="34"/>
    </row>
    <row r="77" spans="2:4">
      <c r="B77" s="28"/>
      <c r="C77" s="29"/>
      <c r="D77" s="29"/>
    </row>
    <row r="78" spans="2:4">
      <c r="B78" s="28"/>
      <c r="C78" s="29"/>
      <c r="D78" s="29"/>
    </row>
    <row r="79" spans="2:4">
      <c r="B79" s="28"/>
      <c r="C79" s="29"/>
      <c r="D79" s="29"/>
    </row>
    <row r="80" spans="2:4">
      <c r="B80" s="28"/>
      <c r="C80" s="29"/>
      <c r="D80" s="29"/>
    </row>
  </sheetData>
  <pageMargins left="0.59055118110236227" right="0.19685039370078741" top="0.39370078740157483" bottom="0.39370078740157483" header="0.51181102362204722" footer="0.51181102362204722"/>
  <pageSetup paperSize="9" scale="8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052F-92F9-4B2C-84E1-C398A6E687A1}">
  <sheetPr>
    <pageSetUpPr fitToPage="1"/>
  </sheetPr>
  <dimension ref="B1:K80"/>
  <sheetViews>
    <sheetView showGridLines="0" zoomScaleNormal="100" workbookViewId="0">
      <pane ySplit="5" topLeftCell="A6" activePane="bottomLeft" state="frozen"/>
      <selection pane="bottomLeft" activeCell="K3" sqref="K3"/>
    </sheetView>
  </sheetViews>
  <sheetFormatPr defaultColWidth="11.42578125" defaultRowHeight="15"/>
  <cols>
    <col min="1" max="1" width="2.85546875" style="25" customWidth="1"/>
    <col min="2" max="2" width="12" style="27" customWidth="1"/>
    <col min="3" max="3" width="12.140625" style="28" bestFit="1" customWidth="1"/>
    <col min="4" max="4" width="8.7109375" style="28" customWidth="1"/>
    <col min="5" max="5" width="11.5703125" style="27" bestFit="1" customWidth="1"/>
    <col min="6" max="6" width="12.140625" style="28" bestFit="1" customWidth="1"/>
    <col min="7" max="7" width="8.7109375" style="28" customWidth="1"/>
    <col min="8" max="8" width="11.5703125" style="25" bestFit="1" customWidth="1"/>
    <col min="9" max="9" width="15.7109375" style="25" customWidth="1"/>
    <col min="10" max="10" width="11.5703125" style="25" bestFit="1" customWidth="1"/>
    <col min="11" max="16384" width="11.42578125" style="25"/>
  </cols>
  <sheetData>
    <row r="1" spans="2:11" ht="23.25">
      <c r="B1" s="71" t="str">
        <f>Teilnehmer!B1</f>
        <v>20. Fürst von Wrede Rallye 2024</v>
      </c>
    </row>
    <row r="2" spans="2:11" ht="18">
      <c r="B2" s="165" t="s">
        <v>348</v>
      </c>
      <c r="C2" s="25"/>
      <c r="D2" s="25"/>
      <c r="E2" s="26"/>
      <c r="F2" s="26"/>
      <c r="G2" s="26"/>
      <c r="J2" s="171" t="s">
        <v>349</v>
      </c>
      <c r="K2" s="172">
        <v>0.45833333333333331</v>
      </c>
    </row>
    <row r="3" spans="2:11" ht="27.75">
      <c r="B3" s="24"/>
      <c r="C3" s="25"/>
      <c r="D3" s="25"/>
      <c r="E3" s="26"/>
      <c r="F3" s="26"/>
      <c r="G3" s="26"/>
      <c r="J3" s="171" t="s">
        <v>345</v>
      </c>
      <c r="K3" s="172">
        <v>6.9444444444444447E-4</v>
      </c>
    </row>
    <row r="4" spans="2:11">
      <c r="C4" s="27"/>
      <c r="D4" s="27"/>
    </row>
    <row r="5" spans="2:11" ht="26.25" customHeight="1">
      <c r="B5" s="166" t="s">
        <v>346</v>
      </c>
      <c r="C5" s="167" t="s">
        <v>347</v>
      </c>
      <c r="D5" s="168"/>
      <c r="E5" s="166" t="s">
        <v>346</v>
      </c>
      <c r="F5" s="167" t="s">
        <v>347</v>
      </c>
      <c r="G5" s="27"/>
    </row>
    <row r="6" spans="2:11" ht="15.75" hidden="1">
      <c r="B6" s="173">
        <v>0</v>
      </c>
      <c r="C6" s="174"/>
      <c r="D6" s="175"/>
      <c r="E6" s="175"/>
      <c r="F6" s="175"/>
      <c r="G6" s="29"/>
      <c r="J6" s="30"/>
    </row>
    <row r="7" spans="2:11" ht="5.25" customHeight="1">
      <c r="B7" s="176"/>
      <c r="C7" s="176"/>
      <c r="D7" s="177">
        <v>1</v>
      </c>
      <c r="E7" s="177">
        <v>1</v>
      </c>
      <c r="F7" s="177">
        <v>1</v>
      </c>
      <c r="G7" s="30">
        <v>1</v>
      </c>
      <c r="J7" s="30"/>
    </row>
    <row r="8" spans="2:11" ht="24.75" customHeight="1">
      <c r="B8" s="173">
        <v>1</v>
      </c>
      <c r="C8" s="174">
        <f>K2+K3</f>
        <v>0.45902777777777776</v>
      </c>
      <c r="D8" s="177">
        <v>1</v>
      </c>
      <c r="E8" s="173">
        <v>33</v>
      </c>
      <c r="F8" s="174">
        <f>C39+$K$3</f>
        <v>0.4812499999999999</v>
      </c>
      <c r="G8" s="30">
        <v>1</v>
      </c>
      <c r="J8" s="30"/>
    </row>
    <row r="9" spans="2:11" ht="24.75" customHeight="1">
      <c r="B9" s="173">
        <v>2</v>
      </c>
      <c r="C9" s="174">
        <f t="shared" ref="C9:C39" si="0">C8+$K$3</f>
        <v>0.4597222222222222</v>
      </c>
      <c r="D9" s="177">
        <v>1</v>
      </c>
      <c r="E9" s="173">
        <v>34</v>
      </c>
      <c r="F9" s="174">
        <f t="shared" ref="F9:F37" si="1">F8+$K$3</f>
        <v>0.48194444444444434</v>
      </c>
      <c r="G9" s="30">
        <v>1</v>
      </c>
      <c r="J9" s="30"/>
    </row>
    <row r="10" spans="2:11" ht="24.75" customHeight="1">
      <c r="B10" s="173">
        <v>3</v>
      </c>
      <c r="C10" s="174">
        <f t="shared" si="0"/>
        <v>0.46041666666666664</v>
      </c>
      <c r="D10" s="177">
        <v>1</v>
      </c>
      <c r="E10" s="173">
        <v>35</v>
      </c>
      <c r="F10" s="174">
        <f t="shared" si="1"/>
        <v>0.48263888888888878</v>
      </c>
      <c r="G10" s="30">
        <v>1</v>
      </c>
      <c r="J10" s="30"/>
    </row>
    <row r="11" spans="2:11" ht="24.75" customHeight="1">
      <c r="B11" s="173">
        <v>4</v>
      </c>
      <c r="C11" s="174">
        <f t="shared" si="0"/>
        <v>0.46111111111111108</v>
      </c>
      <c r="D11" s="177">
        <v>1</v>
      </c>
      <c r="E11" s="173">
        <v>36</v>
      </c>
      <c r="F11" s="174">
        <f t="shared" si="1"/>
        <v>0.48333333333333323</v>
      </c>
      <c r="G11" s="30">
        <v>1</v>
      </c>
      <c r="J11" s="30"/>
    </row>
    <row r="12" spans="2:11" ht="24.75" customHeight="1">
      <c r="B12" s="173">
        <v>5</v>
      </c>
      <c r="C12" s="174">
        <f t="shared" si="0"/>
        <v>0.46180555555555552</v>
      </c>
      <c r="D12" s="177">
        <v>1</v>
      </c>
      <c r="E12" s="173">
        <v>37</v>
      </c>
      <c r="F12" s="174">
        <f t="shared" si="1"/>
        <v>0.48402777777777767</v>
      </c>
      <c r="G12" s="30">
        <v>1</v>
      </c>
    </row>
    <row r="13" spans="2:11" ht="24.75" customHeight="1">
      <c r="B13" s="173">
        <v>6</v>
      </c>
      <c r="C13" s="174">
        <f t="shared" si="0"/>
        <v>0.46249999999999997</v>
      </c>
      <c r="D13" s="177">
        <v>1</v>
      </c>
      <c r="E13" s="173">
        <v>38</v>
      </c>
      <c r="F13" s="174">
        <f t="shared" si="1"/>
        <v>0.48472222222222211</v>
      </c>
      <c r="G13" s="30">
        <v>1</v>
      </c>
    </row>
    <row r="14" spans="2:11" ht="24.75" customHeight="1">
      <c r="B14" s="173">
        <v>7</v>
      </c>
      <c r="C14" s="174">
        <f t="shared" si="0"/>
        <v>0.46319444444444441</v>
      </c>
      <c r="D14" s="177">
        <v>1</v>
      </c>
      <c r="E14" s="173">
        <v>39</v>
      </c>
      <c r="F14" s="174">
        <f t="shared" si="1"/>
        <v>0.48541666666666655</v>
      </c>
      <c r="G14" s="30">
        <v>1</v>
      </c>
    </row>
    <row r="15" spans="2:11" ht="24.75" customHeight="1">
      <c r="B15" s="173">
        <v>8</v>
      </c>
      <c r="C15" s="174">
        <f t="shared" si="0"/>
        <v>0.46388888888888885</v>
      </c>
      <c r="D15" s="177">
        <v>1</v>
      </c>
      <c r="E15" s="173">
        <v>40</v>
      </c>
      <c r="F15" s="174">
        <f t="shared" si="1"/>
        <v>0.48611111111111099</v>
      </c>
      <c r="G15" s="30">
        <v>1</v>
      </c>
    </row>
    <row r="16" spans="2:11" ht="24.75" customHeight="1">
      <c r="B16" s="173">
        <v>9</v>
      </c>
      <c r="C16" s="174">
        <f t="shared" si="0"/>
        <v>0.46458333333333329</v>
      </c>
      <c r="D16" s="177">
        <v>1</v>
      </c>
      <c r="E16" s="173">
        <v>41</v>
      </c>
      <c r="F16" s="174">
        <f t="shared" si="1"/>
        <v>0.48680555555555544</v>
      </c>
      <c r="G16" s="30">
        <v>1</v>
      </c>
      <c r="J16" s="31"/>
    </row>
    <row r="17" spans="2:9" ht="24.75" customHeight="1">
      <c r="B17" s="173">
        <v>10</v>
      </c>
      <c r="C17" s="174">
        <f t="shared" si="0"/>
        <v>0.46527777777777773</v>
      </c>
      <c r="D17" s="177">
        <v>1</v>
      </c>
      <c r="E17" s="173">
        <v>42</v>
      </c>
      <c r="F17" s="174">
        <f t="shared" si="1"/>
        <v>0.48749999999999988</v>
      </c>
      <c r="G17" s="30">
        <v>1</v>
      </c>
    </row>
    <row r="18" spans="2:9" ht="24.75" customHeight="1">
      <c r="B18" s="173">
        <v>11</v>
      </c>
      <c r="C18" s="174">
        <f t="shared" si="0"/>
        <v>0.46597222222222218</v>
      </c>
      <c r="D18" s="177">
        <v>1</v>
      </c>
      <c r="E18" s="173">
        <v>43</v>
      </c>
      <c r="F18" s="174">
        <f t="shared" si="1"/>
        <v>0.48819444444444432</v>
      </c>
      <c r="G18" s="30">
        <v>1</v>
      </c>
    </row>
    <row r="19" spans="2:9" ht="24.75" customHeight="1">
      <c r="B19" s="173">
        <v>12</v>
      </c>
      <c r="C19" s="174">
        <f t="shared" si="0"/>
        <v>0.46666666666666662</v>
      </c>
      <c r="D19" s="177">
        <v>1</v>
      </c>
      <c r="E19" s="173">
        <v>44</v>
      </c>
      <c r="F19" s="174">
        <f t="shared" si="1"/>
        <v>0.48888888888888876</v>
      </c>
      <c r="G19" s="30">
        <v>1</v>
      </c>
    </row>
    <row r="20" spans="2:9" ht="24.75" customHeight="1">
      <c r="B20" s="173">
        <v>13</v>
      </c>
      <c r="C20" s="174">
        <f t="shared" si="0"/>
        <v>0.46736111111111106</v>
      </c>
      <c r="D20" s="177">
        <v>1</v>
      </c>
      <c r="E20" s="173">
        <v>45</v>
      </c>
      <c r="F20" s="174">
        <f t="shared" si="1"/>
        <v>0.4895833333333332</v>
      </c>
      <c r="G20" s="30">
        <v>1</v>
      </c>
      <c r="H20"/>
      <c r="I20"/>
    </row>
    <row r="21" spans="2:9" ht="24.75" customHeight="1">
      <c r="B21" s="173">
        <v>14</v>
      </c>
      <c r="C21" s="174">
        <f t="shared" si="0"/>
        <v>0.4680555555555555</v>
      </c>
      <c r="D21" s="177">
        <v>1</v>
      </c>
      <c r="E21" s="173">
        <v>46</v>
      </c>
      <c r="F21" s="174">
        <f t="shared" si="1"/>
        <v>0.49027777777777765</v>
      </c>
      <c r="G21" s="30">
        <v>1</v>
      </c>
      <c r="H21"/>
      <c r="I21"/>
    </row>
    <row r="22" spans="2:9" ht="24.75" customHeight="1">
      <c r="B22" s="173">
        <v>15</v>
      </c>
      <c r="C22" s="174">
        <f t="shared" si="0"/>
        <v>0.46874999999999994</v>
      </c>
      <c r="D22" s="177">
        <v>1</v>
      </c>
      <c r="E22" s="173">
        <v>47</v>
      </c>
      <c r="F22" s="174">
        <f t="shared" si="1"/>
        <v>0.49097222222222209</v>
      </c>
      <c r="G22" s="30">
        <v>1</v>
      </c>
      <c r="H22"/>
      <c r="I22"/>
    </row>
    <row r="23" spans="2:9" ht="24.75" customHeight="1">
      <c r="B23" s="173">
        <v>16</v>
      </c>
      <c r="C23" s="174">
        <f t="shared" si="0"/>
        <v>0.46944444444444439</v>
      </c>
      <c r="D23" s="177">
        <v>1</v>
      </c>
      <c r="E23" s="173">
        <v>48</v>
      </c>
      <c r="F23" s="174">
        <f t="shared" si="1"/>
        <v>0.49166666666666653</v>
      </c>
      <c r="G23" s="30">
        <v>1</v>
      </c>
      <c r="H23"/>
      <c r="I23"/>
    </row>
    <row r="24" spans="2:9" ht="24.75" customHeight="1">
      <c r="B24" s="173">
        <v>17</v>
      </c>
      <c r="C24" s="174">
        <f t="shared" si="0"/>
        <v>0.47013888888888883</v>
      </c>
      <c r="D24" s="177">
        <v>1</v>
      </c>
      <c r="E24" s="173">
        <v>49</v>
      </c>
      <c r="F24" s="174">
        <f t="shared" si="1"/>
        <v>0.49236111111111097</v>
      </c>
      <c r="G24" s="30">
        <v>1</v>
      </c>
      <c r="H24"/>
      <c r="I24"/>
    </row>
    <row r="25" spans="2:9" ht="24.75" customHeight="1">
      <c r="B25" s="173">
        <v>18</v>
      </c>
      <c r="C25" s="174">
        <f t="shared" si="0"/>
        <v>0.47083333333333327</v>
      </c>
      <c r="D25" s="177">
        <v>1</v>
      </c>
      <c r="E25" s="173">
        <v>50</v>
      </c>
      <c r="F25" s="174">
        <f t="shared" si="1"/>
        <v>0.49305555555555541</v>
      </c>
      <c r="G25" s="30">
        <v>1</v>
      </c>
      <c r="H25"/>
      <c r="I25"/>
    </row>
    <row r="26" spans="2:9" ht="24.75" customHeight="1">
      <c r="B26" s="173">
        <v>19</v>
      </c>
      <c r="C26" s="174">
        <f t="shared" si="0"/>
        <v>0.47152777777777771</v>
      </c>
      <c r="D26" s="177">
        <v>1</v>
      </c>
      <c r="E26" s="173">
        <v>51</v>
      </c>
      <c r="F26" s="174">
        <f t="shared" si="1"/>
        <v>0.49374999999999986</v>
      </c>
      <c r="G26" s="30">
        <v>1</v>
      </c>
      <c r="H26"/>
      <c r="I26"/>
    </row>
    <row r="27" spans="2:9" ht="24.75" customHeight="1">
      <c r="B27" s="173">
        <v>20</v>
      </c>
      <c r="C27" s="174">
        <f t="shared" si="0"/>
        <v>0.47222222222222215</v>
      </c>
      <c r="D27" s="177">
        <v>1</v>
      </c>
      <c r="E27" s="173">
        <v>52</v>
      </c>
      <c r="F27" s="174">
        <f t="shared" si="1"/>
        <v>0.4944444444444443</v>
      </c>
      <c r="G27" s="30">
        <v>1</v>
      </c>
      <c r="H27"/>
      <c r="I27"/>
    </row>
    <row r="28" spans="2:9" ht="24.75" customHeight="1">
      <c r="B28" s="173">
        <v>21</v>
      </c>
      <c r="C28" s="174">
        <f t="shared" si="0"/>
        <v>0.4729166666666666</v>
      </c>
      <c r="D28" s="177">
        <v>1</v>
      </c>
      <c r="E28" s="173">
        <v>53</v>
      </c>
      <c r="F28" s="174">
        <f t="shared" si="1"/>
        <v>0.49513888888888874</v>
      </c>
      <c r="G28" s="30">
        <v>1</v>
      </c>
      <c r="H28"/>
      <c r="I28"/>
    </row>
    <row r="29" spans="2:9" ht="24.75" customHeight="1">
      <c r="B29" s="173">
        <v>22</v>
      </c>
      <c r="C29" s="174">
        <f t="shared" si="0"/>
        <v>0.47361111111111104</v>
      </c>
      <c r="D29" s="177">
        <v>1</v>
      </c>
      <c r="E29" s="173">
        <v>54</v>
      </c>
      <c r="F29" s="174">
        <f t="shared" si="1"/>
        <v>0.49583333333333318</v>
      </c>
      <c r="G29" s="30">
        <v>1</v>
      </c>
      <c r="H29"/>
      <c r="I29"/>
    </row>
    <row r="30" spans="2:9" ht="24.75" customHeight="1">
      <c r="B30" s="173">
        <v>23</v>
      </c>
      <c r="C30" s="174">
        <f t="shared" si="0"/>
        <v>0.47430555555555548</v>
      </c>
      <c r="D30" s="177">
        <v>1</v>
      </c>
      <c r="E30" s="173">
        <v>55</v>
      </c>
      <c r="F30" s="174">
        <f t="shared" si="1"/>
        <v>0.49652777777777762</v>
      </c>
      <c r="G30" s="30">
        <v>1</v>
      </c>
      <c r="H30"/>
      <c r="I30"/>
    </row>
    <row r="31" spans="2:9" ht="24.75" customHeight="1">
      <c r="B31" s="173">
        <v>24</v>
      </c>
      <c r="C31" s="174">
        <f t="shared" si="0"/>
        <v>0.47499999999999992</v>
      </c>
      <c r="D31" s="177">
        <v>1</v>
      </c>
      <c r="E31" s="173">
        <v>56</v>
      </c>
      <c r="F31" s="174">
        <f t="shared" si="1"/>
        <v>0.49722222222222207</v>
      </c>
      <c r="G31" s="30">
        <v>1</v>
      </c>
      <c r="H31"/>
      <c r="I31"/>
    </row>
    <row r="32" spans="2:9" ht="24.75" customHeight="1">
      <c r="B32" s="173">
        <v>25</v>
      </c>
      <c r="C32" s="174">
        <f t="shared" si="0"/>
        <v>0.47569444444444436</v>
      </c>
      <c r="D32" s="177">
        <v>1</v>
      </c>
      <c r="E32" s="173">
        <v>58</v>
      </c>
      <c r="F32" s="174">
        <f t="shared" si="1"/>
        <v>0.49791666666666651</v>
      </c>
      <c r="G32" s="30">
        <v>1</v>
      </c>
      <c r="H32"/>
      <c r="I32"/>
    </row>
    <row r="33" spans="2:9" ht="24.75" customHeight="1">
      <c r="B33" s="173">
        <v>26</v>
      </c>
      <c r="C33" s="174">
        <f t="shared" si="0"/>
        <v>0.47638888888888881</v>
      </c>
      <c r="D33" s="177">
        <v>1</v>
      </c>
      <c r="E33" s="173">
        <v>59</v>
      </c>
      <c r="F33" s="174">
        <f t="shared" si="1"/>
        <v>0.49861111111111095</v>
      </c>
      <c r="G33" s="30">
        <v>1</v>
      </c>
      <c r="H33"/>
      <c r="I33"/>
    </row>
    <row r="34" spans="2:9" ht="24.75" customHeight="1">
      <c r="B34" s="173">
        <v>27</v>
      </c>
      <c r="C34" s="174">
        <f t="shared" si="0"/>
        <v>0.47708333333333325</v>
      </c>
      <c r="D34" s="177">
        <v>1</v>
      </c>
      <c r="E34" s="173">
        <v>60</v>
      </c>
      <c r="F34" s="174">
        <f t="shared" si="1"/>
        <v>0.49930555555555539</v>
      </c>
      <c r="G34" s="30">
        <v>1</v>
      </c>
      <c r="H34" s="28"/>
      <c r="I34" s="29"/>
    </row>
    <row r="35" spans="2:9" ht="24.75" customHeight="1">
      <c r="B35" s="173">
        <v>28</v>
      </c>
      <c r="C35" s="174">
        <f t="shared" si="0"/>
        <v>0.47777777777777769</v>
      </c>
      <c r="D35" s="177">
        <v>1</v>
      </c>
      <c r="E35" s="173">
        <v>61</v>
      </c>
      <c r="F35" s="174">
        <f t="shared" si="1"/>
        <v>0.49999999999999983</v>
      </c>
      <c r="G35" s="30">
        <v>1</v>
      </c>
      <c r="H35" s="28"/>
      <c r="I35" s="29"/>
    </row>
    <row r="36" spans="2:9" ht="24.75" customHeight="1">
      <c r="B36" s="173">
        <v>29</v>
      </c>
      <c r="C36" s="174">
        <f t="shared" si="0"/>
        <v>0.47847222222222213</v>
      </c>
      <c r="D36" s="177">
        <v>1</v>
      </c>
      <c r="E36" s="173">
        <v>62</v>
      </c>
      <c r="F36" s="174">
        <f t="shared" si="1"/>
        <v>0.50069444444444433</v>
      </c>
      <c r="G36" s="30">
        <v>1</v>
      </c>
      <c r="H36" s="28"/>
      <c r="I36" s="29"/>
    </row>
    <row r="37" spans="2:9" ht="24.75" customHeight="1">
      <c r="B37" s="173">
        <v>30</v>
      </c>
      <c r="C37" s="174">
        <f t="shared" si="0"/>
        <v>0.47916666666666657</v>
      </c>
      <c r="D37" s="177">
        <v>1</v>
      </c>
      <c r="E37" s="173">
        <v>63</v>
      </c>
      <c r="F37" s="174">
        <f t="shared" si="1"/>
        <v>0.50138888888888877</v>
      </c>
      <c r="G37" s="30">
        <v>1</v>
      </c>
      <c r="H37" s="28"/>
    </row>
    <row r="38" spans="2:9" ht="24.75" customHeight="1">
      <c r="B38" s="173">
        <v>31</v>
      </c>
      <c r="C38" s="174">
        <f t="shared" si="0"/>
        <v>0.47986111111111102</v>
      </c>
      <c r="D38" s="177">
        <v>1</v>
      </c>
      <c r="E38" s="177">
        <v>1</v>
      </c>
      <c r="F38" s="177">
        <v>1</v>
      </c>
      <c r="G38" s="30">
        <v>1</v>
      </c>
    </row>
    <row r="39" spans="2:9" ht="24.75" customHeight="1">
      <c r="B39" s="173">
        <v>32</v>
      </c>
      <c r="C39" s="174">
        <f t="shared" si="0"/>
        <v>0.48055555555555546</v>
      </c>
      <c r="D39" s="177">
        <v>1</v>
      </c>
      <c r="E39" s="177">
        <v>1</v>
      </c>
      <c r="F39" s="177">
        <v>1</v>
      </c>
      <c r="G39" s="30">
        <v>1</v>
      </c>
    </row>
    <row r="40" spans="2:9" ht="24.75" customHeight="1">
      <c r="B40" s="178"/>
      <c r="C40" s="179"/>
      <c r="D40" s="177">
        <v>1</v>
      </c>
      <c r="E40" s="30"/>
      <c r="F40" s="30"/>
      <c r="G40" s="30"/>
    </row>
    <row r="41" spans="2:9" ht="24.75" customHeight="1">
      <c r="D41" s="30"/>
      <c r="E41" s="30"/>
      <c r="F41" s="30"/>
      <c r="G41" s="30"/>
    </row>
    <row r="42" spans="2:9" ht="24.75" customHeight="1">
      <c r="D42" s="30"/>
      <c r="E42" s="30"/>
      <c r="F42" s="30"/>
      <c r="G42" s="30"/>
    </row>
    <row r="43" spans="2:9" ht="24.75" customHeight="1">
      <c r="D43" s="30"/>
      <c r="E43" s="30"/>
      <c r="F43" s="30"/>
      <c r="G43" s="30"/>
    </row>
    <row r="44" spans="2:9" ht="24.75" customHeight="1">
      <c r="D44" s="30"/>
      <c r="E44" s="30"/>
      <c r="F44" s="30"/>
      <c r="G44" s="30"/>
    </row>
    <row r="45" spans="2:9" ht="24.75" customHeight="1">
      <c r="D45" s="30"/>
      <c r="E45" s="30"/>
      <c r="F45" s="30"/>
      <c r="G45" s="30"/>
    </row>
    <row r="46" spans="2:9">
      <c r="D46" s="30"/>
      <c r="E46" s="30"/>
      <c r="F46" s="30"/>
      <c r="G46" s="30"/>
    </row>
    <row r="47" spans="2:9">
      <c r="D47" s="30"/>
      <c r="E47" s="30"/>
      <c r="F47" s="30"/>
      <c r="G47" s="30"/>
    </row>
    <row r="48" spans="2:9">
      <c r="B48" s="28"/>
    </row>
    <row r="49" spans="2:10">
      <c r="E49" s="32"/>
      <c r="F49" s="33"/>
      <c r="G49" s="34"/>
    </row>
    <row r="50" spans="2:10" s="35" customFormat="1">
      <c r="B50" s="32"/>
      <c r="C50" s="33"/>
      <c r="D50" s="34"/>
      <c r="E50" s="27"/>
      <c r="F50" s="28"/>
      <c r="G50" s="28"/>
      <c r="J50" s="34"/>
    </row>
    <row r="77" spans="2:4">
      <c r="B77" s="28"/>
      <c r="C77" s="29"/>
      <c r="D77" s="29"/>
    </row>
    <row r="78" spans="2:4">
      <c r="B78" s="28"/>
      <c r="C78" s="29"/>
      <c r="D78" s="29"/>
    </row>
    <row r="79" spans="2:4">
      <c r="B79" s="28"/>
      <c r="C79" s="29"/>
      <c r="D79" s="29"/>
    </row>
    <row r="80" spans="2:4">
      <c r="B80" s="28"/>
      <c r="C80" s="29"/>
      <c r="D80" s="29"/>
    </row>
  </sheetData>
  <pageMargins left="0.59055118110236227" right="0.19685039370078741" top="0.39370078740157483" bottom="0.39370078740157483" header="0.51181102362204722" footer="0.51181102362204722"/>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9310B-C5C9-4A51-B705-F8CDF7F98151}">
  <sheetPr>
    <tabColor theme="0" tint="-0.249977111117893"/>
  </sheetPr>
  <dimension ref="A1:DJ80"/>
  <sheetViews>
    <sheetView showGridLines="0" zoomScale="110" zoomScaleNormal="110" workbookViewId="0">
      <pane xSplit="5" ySplit="10" topLeftCell="F11" activePane="bottomRight" state="frozen"/>
      <selection pane="bottomRight" activeCell="S26" sqref="S26:Z26"/>
      <selection pane="bottomLeft" activeCell="A11" sqref="A11"/>
      <selection pane="topRight" activeCell="F1" sqref="F1"/>
    </sheetView>
  </sheetViews>
  <sheetFormatPr defaultColWidth="11.42578125" defaultRowHeight="15" outlineLevelCol="1"/>
  <cols>
    <col min="1" max="1" width="1.85546875" customWidth="1"/>
    <col min="2" max="2" width="9.85546875" style="5" customWidth="1"/>
    <col min="3" max="3" width="8.85546875" style="5" customWidth="1"/>
    <col min="4" max="4" width="27.140625" style="13" customWidth="1"/>
    <col min="5" max="5" width="4.28515625" style="5" customWidth="1"/>
    <col min="6" max="8" width="3.28515625" style="5" bestFit="1" customWidth="1"/>
    <col min="9" max="9" width="3" style="5" bestFit="1" customWidth="1"/>
    <col min="10" max="10" width="3.28515625" style="5" bestFit="1" customWidth="1"/>
    <col min="11" max="11" width="3.7109375" style="5" bestFit="1" customWidth="1"/>
    <col min="12" max="13" width="3.28515625" style="5" bestFit="1" customWidth="1"/>
    <col min="14" max="14" width="3.140625" style="5" bestFit="1" customWidth="1"/>
    <col min="15" max="15" width="3.28515625" style="5" customWidth="1"/>
    <col min="16" max="16" width="3.140625" style="5" bestFit="1" customWidth="1"/>
    <col min="17" max="17" width="3" style="5" bestFit="1" customWidth="1"/>
    <col min="18" max="18" width="1.28515625" style="5" customWidth="1"/>
    <col min="19" max="19" width="3.28515625" style="5" bestFit="1" customWidth="1"/>
    <col min="20" max="20" width="3.7109375" style="5" bestFit="1" customWidth="1"/>
    <col min="21" max="21" width="3.140625" style="5" bestFit="1" customWidth="1"/>
    <col min="22" max="22" width="3" style="5" bestFit="1" customWidth="1"/>
    <col min="23" max="23" width="3.28515625" style="5" bestFit="1" customWidth="1"/>
    <col min="24" max="24" width="3.7109375" style="5" bestFit="1" customWidth="1"/>
    <col min="25" max="25" width="3.140625" style="5" bestFit="1" customWidth="1"/>
    <col min="26" max="26" width="4.42578125" style="5" bestFit="1" customWidth="1"/>
    <col min="27" max="27" width="3.140625" style="5" bestFit="1" customWidth="1"/>
    <col min="28" max="28" width="3.7109375" style="5" bestFit="1" customWidth="1"/>
    <col min="29" max="29" width="3.140625" style="5" bestFit="1" customWidth="1"/>
    <col min="30" max="30" width="3.28515625" style="5" bestFit="1" customWidth="1"/>
    <col min="31" max="31" width="1.28515625" style="5" customWidth="1"/>
    <col min="32" max="32" width="3.28515625" style="5" bestFit="1" customWidth="1"/>
    <col min="33" max="33" width="3.7109375" style="5" bestFit="1" customWidth="1"/>
    <col min="34" max="34" width="3.140625" style="5" bestFit="1" customWidth="1"/>
    <col min="35" max="35" width="3" style="5" bestFit="1" customWidth="1"/>
    <col min="36" max="36" width="3.28515625" style="5" bestFit="1" customWidth="1"/>
    <col min="37" max="37" width="3.7109375" style="5" bestFit="1" customWidth="1"/>
    <col min="38" max="38" width="3.140625" style="5" bestFit="1" customWidth="1"/>
    <col min="39" max="39" width="3" style="5" bestFit="1" customWidth="1"/>
    <col min="40" max="40" width="3.140625" style="5" bestFit="1" customWidth="1"/>
    <col min="41" max="41" width="3.7109375" style="5" bestFit="1" customWidth="1"/>
    <col min="42" max="42" width="3.140625" style="5" bestFit="1" customWidth="1"/>
    <col min="43" max="43" width="2.7109375" style="5" bestFit="1" customWidth="1"/>
    <col min="44" max="44" width="1.28515625" style="5" customWidth="1"/>
    <col min="45" max="45" width="3.28515625" style="5" bestFit="1" customWidth="1"/>
    <col min="46" max="46" width="3.7109375" style="5" bestFit="1" customWidth="1"/>
    <col min="47" max="47" width="3.140625" style="5" bestFit="1" customWidth="1"/>
    <col min="48" max="48" width="3" style="5" bestFit="1" customWidth="1"/>
    <col min="49" max="49" width="3.28515625" style="5" bestFit="1" customWidth="1"/>
    <col min="50" max="50" width="4.140625" style="5" bestFit="1" customWidth="1"/>
    <col min="51" max="51" width="3.140625" style="5" bestFit="1" customWidth="1"/>
    <col min="52" max="52" width="3" style="5" bestFit="1" customWidth="1"/>
    <col min="53" max="53" width="3.140625" style="5" bestFit="1" customWidth="1"/>
    <col min="54" max="54" width="3.7109375" style="5" bestFit="1" customWidth="1"/>
    <col min="55" max="55" width="3.140625" style="5" bestFit="1" customWidth="1"/>
    <col min="56" max="56" width="2.7109375" style="5" bestFit="1" customWidth="1"/>
    <col min="57" max="57" width="1.28515625" style="5" customWidth="1"/>
    <col min="58" max="58" width="3.28515625" style="5" bestFit="1" customWidth="1"/>
    <col min="59" max="59" width="3.7109375" style="5" bestFit="1" customWidth="1"/>
    <col min="60" max="60" width="3.140625" style="5" bestFit="1" customWidth="1"/>
    <col min="61" max="61" width="3" style="5" bestFit="1" customWidth="1"/>
    <col min="62" max="62" width="3.28515625" style="5" bestFit="1" customWidth="1"/>
    <col min="63" max="63" width="3.7109375" style="5" bestFit="1" customWidth="1"/>
    <col min="64" max="64" width="3.140625" style="5" bestFit="1" customWidth="1"/>
    <col min="65" max="65" width="3" style="5" bestFit="1" customWidth="1"/>
    <col min="66" max="66" width="3.140625" style="5" bestFit="1" customWidth="1"/>
    <col min="67" max="67" width="3.7109375" style="5" bestFit="1" customWidth="1"/>
    <col min="68" max="68" width="3.140625" style="5" bestFit="1" customWidth="1"/>
    <col min="69" max="69" width="2.7109375" style="5" customWidth="1"/>
    <col min="70" max="70" width="1.28515625" style="5" customWidth="1"/>
    <col min="71" max="71" width="3.28515625" style="5" customWidth="1"/>
    <col min="72" max="72" width="3.7109375" style="5" customWidth="1"/>
    <col min="73" max="73" width="3.140625" style="5" customWidth="1"/>
    <col min="74" max="74" width="3" style="5" customWidth="1"/>
    <col min="75" max="75" width="3.28515625" style="5" customWidth="1"/>
    <col min="76" max="76" width="3.7109375" style="5" customWidth="1"/>
    <col min="77" max="77" width="3.140625" style="5" customWidth="1"/>
    <col min="78" max="78" width="3" style="5" customWidth="1"/>
    <col min="79" max="79" width="3.140625" style="5" customWidth="1"/>
    <col min="80" max="80" width="3.7109375" style="5" customWidth="1"/>
    <col min="81" max="81" width="3.140625" style="5" customWidth="1"/>
    <col min="82" max="82" width="2.7109375" style="5" customWidth="1"/>
    <col min="83" max="83" width="1.28515625" style="5" customWidth="1"/>
    <col min="84" max="84" width="3.140625" style="5" customWidth="1"/>
    <col min="85" max="85" width="3.7109375" style="5" bestFit="1" customWidth="1"/>
    <col min="86" max="86" width="3.140625" style="5" bestFit="1" customWidth="1"/>
    <col min="87" max="87" width="2.7109375" style="5" bestFit="1" customWidth="1"/>
    <col min="88" max="88" width="2.42578125" style="5" customWidth="1"/>
    <col min="89" max="89" width="4.28515625" style="5" customWidth="1" outlineLevel="1"/>
    <col min="90" max="92" width="11.42578125" style="5" customWidth="1" outlineLevel="1"/>
    <col min="93" max="93" width="1.28515625" style="5" customWidth="1" outlineLevel="1"/>
    <col min="94" max="96" width="11.42578125" style="5" customWidth="1" outlineLevel="1"/>
    <col min="97" max="97" width="1.28515625" style="5" customWidth="1" outlineLevel="1"/>
    <col min="98" max="100" width="11.42578125" style="5" customWidth="1" outlineLevel="1"/>
    <col min="101" max="101" width="1.28515625" style="5" customWidth="1" outlineLevel="1"/>
    <col min="102" max="104" width="11.42578125" style="5" customWidth="1" outlineLevel="1"/>
    <col min="105" max="105" width="1.28515625" style="5" customWidth="1" outlineLevel="1"/>
    <col min="106" max="108" width="11.42578125" style="5" customWidth="1" outlineLevel="1"/>
    <col min="109" max="109" width="1.28515625" style="5" customWidth="1" outlineLevel="1"/>
    <col min="110" max="112" width="11.42578125" style="5" customWidth="1" outlineLevel="1"/>
    <col min="113" max="113" width="1.28515625" style="5" customWidth="1" outlineLevel="1"/>
    <col min="114" max="114" width="11.42578125" style="5" customWidth="1" outlineLevel="1"/>
    <col min="115" max="16384" width="11.42578125" style="5"/>
  </cols>
  <sheetData>
    <row r="1" spans="2:114" ht="20.25">
      <c r="B1" s="18" t="str">
        <f>Teilnehmer!B1</f>
        <v>20. Fürst von Wrede Rallye 2024</v>
      </c>
      <c r="D1" s="5"/>
      <c r="F1" s="15"/>
      <c r="G1" s="15"/>
      <c r="H1" s="15"/>
      <c r="I1" s="15"/>
      <c r="O1" s="101" t="s">
        <v>58</v>
      </c>
      <c r="CK1" s="18"/>
    </row>
    <row r="2" spans="2:114">
      <c r="D2" s="5"/>
      <c r="F2" s="63"/>
      <c r="G2" s="63"/>
      <c r="H2" s="63"/>
      <c r="I2" s="63"/>
    </row>
    <row r="3" spans="2:114" ht="20.25">
      <c r="F3" s="81" t="s">
        <v>280</v>
      </c>
      <c r="G3" s="64"/>
      <c r="H3" s="64"/>
      <c r="I3" s="64"/>
      <c r="CK3" s="81"/>
      <c r="CL3" s="81" t="s">
        <v>281</v>
      </c>
      <c r="CN3" s="86"/>
      <c r="CR3" s="86"/>
      <c r="CV3" s="86"/>
      <c r="CZ3" s="86"/>
      <c r="DD3" s="86"/>
      <c r="DH3" s="86"/>
    </row>
    <row r="4" spans="2:114" ht="15.75">
      <c r="B4" s="5" t="s">
        <v>282</v>
      </c>
      <c r="D4" s="10">
        <f>COUNTA(E11:E199)</f>
        <v>70</v>
      </c>
    </row>
    <row r="5" spans="2:114" ht="33">
      <c r="C5" s="98">
        <f>D4-Teilnehmer!P15</f>
        <v>0</v>
      </c>
      <c r="E5" s="99" t="s">
        <v>283</v>
      </c>
      <c r="F5" s="80" t="s">
        <v>284</v>
      </c>
      <c r="G5" s="80" t="s">
        <v>285</v>
      </c>
      <c r="H5" s="80" t="s">
        <v>285</v>
      </c>
      <c r="I5" s="80" t="s">
        <v>286</v>
      </c>
      <c r="J5" s="80" t="s">
        <v>284</v>
      </c>
      <c r="K5" s="80" t="s">
        <v>285</v>
      </c>
      <c r="L5" s="80" t="s">
        <v>285</v>
      </c>
      <c r="M5" s="80" t="s">
        <v>286</v>
      </c>
      <c r="N5" s="80" t="s">
        <v>284</v>
      </c>
      <c r="O5" s="80" t="s">
        <v>285</v>
      </c>
      <c r="P5" s="80" t="s">
        <v>285</v>
      </c>
      <c r="Q5" s="80" t="s">
        <v>286</v>
      </c>
      <c r="R5" s="80"/>
      <c r="S5" s="80" t="s">
        <v>284</v>
      </c>
      <c r="T5" s="80" t="s">
        <v>285</v>
      </c>
      <c r="U5" s="80" t="s">
        <v>285</v>
      </c>
      <c r="V5" s="80" t="s">
        <v>286</v>
      </c>
      <c r="W5" s="80" t="s">
        <v>284</v>
      </c>
      <c r="X5" s="80" t="s">
        <v>285</v>
      </c>
      <c r="Y5" s="80" t="s">
        <v>285</v>
      </c>
      <c r="Z5" s="80" t="s">
        <v>286</v>
      </c>
      <c r="AA5" s="80" t="s">
        <v>284</v>
      </c>
      <c r="AB5" s="80" t="s">
        <v>285</v>
      </c>
      <c r="AC5" s="80" t="s">
        <v>285</v>
      </c>
      <c r="AD5" s="80" t="s">
        <v>286</v>
      </c>
      <c r="AE5" s="80"/>
      <c r="AF5" s="80" t="s">
        <v>284</v>
      </c>
      <c r="AG5" s="80" t="s">
        <v>285</v>
      </c>
      <c r="AH5" s="80" t="s">
        <v>285</v>
      </c>
      <c r="AI5" s="80" t="s">
        <v>286</v>
      </c>
      <c r="AJ5" s="80" t="s">
        <v>284</v>
      </c>
      <c r="AK5" s="80" t="s">
        <v>285</v>
      </c>
      <c r="AL5" s="80" t="s">
        <v>285</v>
      </c>
      <c r="AM5" s="80" t="s">
        <v>286</v>
      </c>
      <c r="AN5" s="80" t="s">
        <v>284</v>
      </c>
      <c r="AO5" s="80" t="s">
        <v>285</v>
      </c>
      <c r="AP5" s="80" t="s">
        <v>285</v>
      </c>
      <c r="AQ5" s="80" t="s">
        <v>286</v>
      </c>
      <c r="AR5" s="80"/>
      <c r="AS5" s="80" t="s">
        <v>284</v>
      </c>
      <c r="AT5" s="80" t="s">
        <v>285</v>
      </c>
      <c r="AU5" s="80" t="s">
        <v>285</v>
      </c>
      <c r="AV5" s="80" t="s">
        <v>286</v>
      </c>
      <c r="AW5" s="80" t="s">
        <v>284</v>
      </c>
      <c r="AX5" s="80" t="s">
        <v>285</v>
      </c>
      <c r="AY5" s="80" t="s">
        <v>285</v>
      </c>
      <c r="AZ5" s="80" t="s">
        <v>286</v>
      </c>
      <c r="BA5" s="80" t="s">
        <v>284</v>
      </c>
      <c r="BB5" s="80" t="s">
        <v>285</v>
      </c>
      <c r="BC5" s="80" t="s">
        <v>285</v>
      </c>
      <c r="BD5" s="80" t="s">
        <v>286</v>
      </c>
      <c r="BE5" s="80"/>
      <c r="BF5" s="80" t="s">
        <v>284</v>
      </c>
      <c r="BG5" s="80" t="s">
        <v>285</v>
      </c>
      <c r="BH5" s="80" t="s">
        <v>285</v>
      </c>
      <c r="BI5" s="80" t="s">
        <v>286</v>
      </c>
      <c r="BJ5" s="80" t="s">
        <v>284</v>
      </c>
      <c r="BK5" s="80" t="s">
        <v>285</v>
      </c>
      <c r="BL5" s="80" t="s">
        <v>285</v>
      </c>
      <c r="BM5" s="80" t="s">
        <v>286</v>
      </c>
      <c r="BN5" s="80" t="s">
        <v>284</v>
      </c>
      <c r="BO5" s="80" t="s">
        <v>285</v>
      </c>
      <c r="BP5" s="80" t="s">
        <v>285</v>
      </c>
      <c r="BQ5" s="80" t="s">
        <v>286</v>
      </c>
      <c r="BR5" s="80"/>
      <c r="BS5" s="80" t="s">
        <v>284</v>
      </c>
      <c r="BT5" s="80" t="s">
        <v>285</v>
      </c>
      <c r="BU5" s="80" t="s">
        <v>285</v>
      </c>
      <c r="BV5" s="80" t="s">
        <v>286</v>
      </c>
      <c r="BW5" s="80" t="s">
        <v>284</v>
      </c>
      <c r="BX5" s="80" t="s">
        <v>285</v>
      </c>
      <c r="BY5" s="80" t="s">
        <v>285</v>
      </c>
      <c r="BZ5" s="80" t="s">
        <v>286</v>
      </c>
      <c r="CA5" s="80" t="s">
        <v>284</v>
      </c>
      <c r="CB5" s="80" t="s">
        <v>285</v>
      </c>
      <c r="CC5" s="80" t="s">
        <v>285</v>
      </c>
      <c r="CD5" s="80" t="s">
        <v>286</v>
      </c>
      <c r="CE5" s="80"/>
      <c r="CF5" s="80" t="s">
        <v>284</v>
      </c>
      <c r="CG5" s="80" t="s">
        <v>285</v>
      </c>
      <c r="CH5" s="80" t="s">
        <v>285</v>
      </c>
      <c r="CI5" s="80" t="s">
        <v>286</v>
      </c>
      <c r="CO5" s="80"/>
      <c r="CS5" s="80"/>
      <c r="CW5" s="80"/>
      <c r="DA5" s="80"/>
      <c r="DE5" s="80"/>
      <c r="DI5" s="80"/>
    </row>
    <row r="6" spans="2:114">
      <c r="B6" s="218" t="s">
        <v>287</v>
      </c>
      <c r="E6" s="67">
        <f>SUM(F6:CI6)</f>
        <v>0</v>
      </c>
      <c r="F6" s="67">
        <f>COUNTIF(F11:F74,F5)</f>
        <v>0</v>
      </c>
      <c r="G6" s="67">
        <f>COUNTIF(G11:G74,G5)</f>
        <v>0</v>
      </c>
      <c r="H6" s="67">
        <f t="shared" ref="F6:Q6" si="0">COUNTIF(H11:H70,H5)</f>
        <v>0</v>
      </c>
      <c r="I6" s="67">
        <f t="shared" si="0"/>
        <v>0</v>
      </c>
      <c r="J6" s="67">
        <f t="shared" si="0"/>
        <v>0</v>
      </c>
      <c r="K6" s="67">
        <f t="shared" si="0"/>
        <v>0</v>
      </c>
      <c r="L6" s="67">
        <f t="shared" si="0"/>
        <v>0</v>
      </c>
      <c r="M6" s="67">
        <f t="shared" si="0"/>
        <v>0</v>
      </c>
      <c r="N6" s="67">
        <f t="shared" si="0"/>
        <v>0</v>
      </c>
      <c r="O6" s="67">
        <f t="shared" si="0"/>
        <v>0</v>
      </c>
      <c r="P6" s="67">
        <f t="shared" si="0"/>
        <v>0</v>
      </c>
      <c r="Q6" s="67">
        <f t="shared" si="0"/>
        <v>0</v>
      </c>
      <c r="S6" s="67">
        <f t="shared" ref="S6:AD6" si="1">COUNTIF(S11:S70,S5)</f>
        <v>0</v>
      </c>
      <c r="T6" s="67">
        <f t="shared" si="1"/>
        <v>0</v>
      </c>
      <c r="U6" s="67">
        <f t="shared" si="1"/>
        <v>0</v>
      </c>
      <c r="V6" s="67">
        <f t="shared" si="1"/>
        <v>0</v>
      </c>
      <c r="W6" s="67">
        <f t="shared" si="1"/>
        <v>0</v>
      </c>
      <c r="X6" s="67">
        <f t="shared" si="1"/>
        <v>0</v>
      </c>
      <c r="Y6" s="67">
        <f t="shared" si="1"/>
        <v>0</v>
      </c>
      <c r="Z6" s="67">
        <f t="shared" si="1"/>
        <v>0</v>
      </c>
      <c r="AA6" s="67">
        <f t="shared" si="1"/>
        <v>0</v>
      </c>
      <c r="AB6" s="67">
        <f t="shared" si="1"/>
        <v>0</v>
      </c>
      <c r="AC6" s="67">
        <f t="shared" si="1"/>
        <v>0</v>
      </c>
      <c r="AD6" s="67">
        <f t="shared" si="1"/>
        <v>0</v>
      </c>
      <c r="AF6" s="67">
        <f t="shared" ref="AF6:AQ6" si="2">COUNTIF(AF11:AF70,AF5)</f>
        <v>0</v>
      </c>
      <c r="AG6" s="67">
        <f t="shared" si="2"/>
        <v>0</v>
      </c>
      <c r="AH6" s="67">
        <f t="shared" si="2"/>
        <v>0</v>
      </c>
      <c r="AI6" s="67">
        <f t="shared" si="2"/>
        <v>0</v>
      </c>
      <c r="AJ6" s="67">
        <f t="shared" si="2"/>
        <v>0</v>
      </c>
      <c r="AK6" s="67">
        <f t="shared" si="2"/>
        <v>0</v>
      </c>
      <c r="AL6" s="67">
        <f t="shared" si="2"/>
        <v>0</v>
      </c>
      <c r="AM6" s="67">
        <f t="shared" si="2"/>
        <v>0</v>
      </c>
      <c r="AN6" s="67">
        <f t="shared" si="2"/>
        <v>0</v>
      </c>
      <c r="AO6" s="67">
        <f t="shared" si="2"/>
        <v>0</v>
      </c>
      <c r="AP6" s="67">
        <f t="shared" si="2"/>
        <v>0</v>
      </c>
      <c r="AQ6" s="67">
        <f t="shared" si="2"/>
        <v>0</v>
      </c>
      <c r="AS6" s="67">
        <f t="shared" ref="AS6:BD6" si="3">COUNTIF(AS11:AS70,AS5)</f>
        <v>0</v>
      </c>
      <c r="AT6" s="67">
        <f t="shared" si="3"/>
        <v>0</v>
      </c>
      <c r="AU6" s="67">
        <f t="shared" si="3"/>
        <v>0</v>
      </c>
      <c r="AV6" s="67">
        <f t="shared" si="3"/>
        <v>0</v>
      </c>
      <c r="AW6" s="67">
        <f t="shared" si="3"/>
        <v>0</v>
      </c>
      <c r="AX6" s="67">
        <f t="shared" si="3"/>
        <v>0</v>
      </c>
      <c r="AY6" s="67">
        <f t="shared" si="3"/>
        <v>0</v>
      </c>
      <c r="AZ6" s="67">
        <f t="shared" si="3"/>
        <v>0</v>
      </c>
      <c r="BA6" s="67">
        <f t="shared" si="3"/>
        <v>0</v>
      </c>
      <c r="BB6" s="67">
        <f t="shared" si="3"/>
        <v>0</v>
      </c>
      <c r="BC6" s="67">
        <f t="shared" si="3"/>
        <v>0</v>
      </c>
      <c r="BD6" s="67">
        <f t="shared" si="3"/>
        <v>0</v>
      </c>
      <c r="BF6" s="67">
        <f t="shared" ref="BF6:BQ6" si="4">COUNTIF(BF11:BF70,BF5)</f>
        <v>0</v>
      </c>
      <c r="BG6" s="67">
        <f t="shared" si="4"/>
        <v>0</v>
      </c>
      <c r="BH6" s="67">
        <f t="shared" si="4"/>
        <v>0</v>
      </c>
      <c r="BI6" s="67">
        <f t="shared" si="4"/>
        <v>0</v>
      </c>
      <c r="BJ6" s="67">
        <f t="shared" si="4"/>
        <v>0</v>
      </c>
      <c r="BK6" s="67">
        <f t="shared" si="4"/>
        <v>0</v>
      </c>
      <c r="BL6" s="67">
        <f t="shared" si="4"/>
        <v>0</v>
      </c>
      <c r="BM6" s="67">
        <f t="shared" si="4"/>
        <v>0</v>
      </c>
      <c r="BN6" s="67">
        <f t="shared" si="4"/>
        <v>0</v>
      </c>
      <c r="BO6" s="67">
        <f t="shared" si="4"/>
        <v>0</v>
      </c>
      <c r="BP6" s="67">
        <f t="shared" si="4"/>
        <v>0</v>
      </c>
      <c r="BQ6" s="67">
        <f t="shared" si="4"/>
        <v>0</v>
      </c>
      <c r="BS6" s="67">
        <f t="shared" ref="BS6:CD6" si="5">COUNTIF(BS11:BS70,BS5)</f>
        <v>0</v>
      </c>
      <c r="BT6" s="67">
        <f t="shared" si="5"/>
        <v>0</v>
      </c>
      <c r="BU6" s="67">
        <f t="shared" si="5"/>
        <v>0</v>
      </c>
      <c r="BV6" s="67">
        <f t="shared" si="5"/>
        <v>0</v>
      </c>
      <c r="BW6" s="67">
        <f t="shared" si="5"/>
        <v>0</v>
      </c>
      <c r="BX6" s="67">
        <f t="shared" si="5"/>
        <v>0</v>
      </c>
      <c r="BY6" s="67">
        <f t="shared" si="5"/>
        <v>0</v>
      </c>
      <c r="BZ6" s="67">
        <f t="shared" si="5"/>
        <v>0</v>
      </c>
      <c r="CA6" s="67">
        <f t="shared" si="5"/>
        <v>0</v>
      </c>
      <c r="CB6" s="67">
        <f t="shared" si="5"/>
        <v>0</v>
      </c>
      <c r="CC6" s="67">
        <f t="shared" si="5"/>
        <v>0</v>
      </c>
      <c r="CD6" s="67">
        <f t="shared" si="5"/>
        <v>0</v>
      </c>
      <c r="CF6" s="67">
        <f>COUNTIF(CF11:CF70,CF5)</f>
        <v>0</v>
      </c>
      <c r="CG6" s="67">
        <f>COUNTIF(CG11:CG70,CG5)</f>
        <v>0</v>
      </c>
      <c r="CH6" s="67">
        <f>COUNTIF(CH11:CH70,CH5)</f>
        <v>0</v>
      </c>
      <c r="CI6" s="67">
        <f>COUNTIF(CI11:CI70,CI5)</f>
        <v>0</v>
      </c>
    </row>
    <row r="7" spans="2:114" ht="15.75" thickBot="1"/>
    <row r="8" spans="2:114" s="78" customFormat="1" ht="20.25">
      <c r="D8" s="79"/>
      <c r="F8" s="329" t="s">
        <v>288</v>
      </c>
      <c r="G8" s="330"/>
      <c r="H8" s="330"/>
      <c r="I8" s="330"/>
      <c r="J8" s="330"/>
      <c r="K8" s="330"/>
      <c r="L8" s="330"/>
      <c r="M8" s="330"/>
      <c r="N8" s="330"/>
      <c r="O8" s="330"/>
      <c r="P8" s="330"/>
      <c r="Q8" s="331"/>
      <c r="S8" s="329" t="s">
        <v>289</v>
      </c>
      <c r="T8" s="330"/>
      <c r="U8" s="330"/>
      <c r="V8" s="330"/>
      <c r="W8" s="330"/>
      <c r="X8" s="330"/>
      <c r="Y8" s="330"/>
      <c r="Z8" s="330"/>
      <c r="AA8" s="330"/>
      <c r="AB8" s="330"/>
      <c r="AC8" s="330"/>
      <c r="AD8" s="331"/>
      <c r="AF8" s="329" t="s">
        <v>290</v>
      </c>
      <c r="AG8" s="330"/>
      <c r="AH8" s="330"/>
      <c r="AI8" s="330"/>
      <c r="AJ8" s="330"/>
      <c r="AK8" s="330"/>
      <c r="AL8" s="330"/>
      <c r="AM8" s="330"/>
      <c r="AN8" s="330"/>
      <c r="AO8" s="330"/>
      <c r="AP8" s="330"/>
      <c r="AQ8" s="331"/>
      <c r="AS8" s="329" t="s">
        <v>291</v>
      </c>
      <c r="AT8" s="330"/>
      <c r="AU8" s="330"/>
      <c r="AV8" s="330"/>
      <c r="AW8" s="330"/>
      <c r="AX8" s="330"/>
      <c r="AY8" s="330"/>
      <c r="AZ8" s="330"/>
      <c r="BA8" s="330"/>
      <c r="BB8" s="330"/>
      <c r="BC8" s="330"/>
      <c r="BD8" s="331"/>
      <c r="BF8" s="329" t="s">
        <v>292</v>
      </c>
      <c r="BG8" s="330"/>
      <c r="BH8" s="330"/>
      <c r="BI8" s="330"/>
      <c r="BJ8" s="330"/>
      <c r="BK8" s="330"/>
      <c r="BL8" s="330"/>
      <c r="BM8" s="330"/>
      <c r="BN8" s="330"/>
      <c r="BO8" s="330"/>
      <c r="BP8" s="330"/>
      <c r="BQ8" s="331"/>
      <c r="BS8" s="329" t="s">
        <v>293</v>
      </c>
      <c r="BT8" s="330"/>
      <c r="BU8" s="330"/>
      <c r="BV8" s="330"/>
      <c r="BW8" s="330"/>
      <c r="BX8" s="330"/>
      <c r="BY8" s="330"/>
      <c r="BZ8" s="330"/>
      <c r="CA8" s="330"/>
      <c r="CB8" s="330"/>
      <c r="CC8" s="330"/>
      <c r="CD8" s="331"/>
      <c r="CF8" s="329" t="s">
        <v>294</v>
      </c>
      <c r="CG8" s="330"/>
      <c r="CH8" s="330"/>
      <c r="CI8" s="331"/>
      <c r="CL8" s="321" t="str">
        <f>F8</f>
        <v>WP 1</v>
      </c>
      <c r="CM8" s="322"/>
      <c r="CN8" s="323"/>
      <c r="CP8" s="321" t="str">
        <f>S8</f>
        <v>WP 2</v>
      </c>
      <c r="CQ8" s="322"/>
      <c r="CR8" s="323"/>
      <c r="CT8" s="321" t="str">
        <f>AF8</f>
        <v>WP 3</v>
      </c>
      <c r="CU8" s="322"/>
      <c r="CV8" s="323"/>
      <c r="CX8" s="321" t="str">
        <f>AS8</f>
        <v>WP 4</v>
      </c>
      <c r="CY8" s="322"/>
      <c r="CZ8" s="323"/>
      <c r="DB8" s="321" t="str">
        <f>BF8</f>
        <v>WP 5</v>
      </c>
      <c r="DC8" s="322"/>
      <c r="DD8" s="323"/>
      <c r="DF8" s="321" t="str">
        <f>BS8</f>
        <v>WP 6</v>
      </c>
      <c r="DG8" s="322"/>
      <c r="DH8" s="323"/>
      <c r="DJ8" s="89" t="s">
        <v>294</v>
      </c>
    </row>
    <row r="9" spans="2:114" ht="24.75" customHeight="1" thickBot="1">
      <c r="F9" s="324" t="s">
        <v>295</v>
      </c>
      <c r="G9" s="325"/>
      <c r="H9" s="325"/>
      <c r="I9" s="326"/>
      <c r="J9" s="327" t="s">
        <v>296</v>
      </c>
      <c r="K9" s="325"/>
      <c r="L9" s="325"/>
      <c r="M9" s="326"/>
      <c r="N9" s="327" t="s">
        <v>297</v>
      </c>
      <c r="O9" s="325"/>
      <c r="P9" s="325"/>
      <c r="Q9" s="328"/>
      <c r="S9" s="324" t="s">
        <v>295</v>
      </c>
      <c r="T9" s="325"/>
      <c r="U9" s="325"/>
      <c r="V9" s="326"/>
      <c r="W9" s="327" t="s">
        <v>296</v>
      </c>
      <c r="X9" s="325"/>
      <c r="Y9" s="325"/>
      <c r="Z9" s="326"/>
      <c r="AA9" s="327" t="s">
        <v>297</v>
      </c>
      <c r="AB9" s="325"/>
      <c r="AC9" s="325"/>
      <c r="AD9" s="328"/>
      <c r="AF9" s="324" t="s">
        <v>295</v>
      </c>
      <c r="AG9" s="325"/>
      <c r="AH9" s="325"/>
      <c r="AI9" s="326"/>
      <c r="AJ9" s="327" t="s">
        <v>296</v>
      </c>
      <c r="AK9" s="325"/>
      <c r="AL9" s="325"/>
      <c r="AM9" s="326"/>
      <c r="AN9" s="327" t="s">
        <v>297</v>
      </c>
      <c r="AO9" s="325"/>
      <c r="AP9" s="325"/>
      <c r="AQ9" s="328"/>
      <c r="AS9" s="324" t="s">
        <v>295</v>
      </c>
      <c r="AT9" s="325"/>
      <c r="AU9" s="325"/>
      <c r="AV9" s="326"/>
      <c r="AW9" s="327" t="s">
        <v>296</v>
      </c>
      <c r="AX9" s="325"/>
      <c r="AY9" s="325"/>
      <c r="AZ9" s="326"/>
      <c r="BA9" s="327" t="s">
        <v>297</v>
      </c>
      <c r="BB9" s="325"/>
      <c r="BC9" s="325"/>
      <c r="BD9" s="328"/>
      <c r="BF9" s="324" t="s">
        <v>295</v>
      </c>
      <c r="BG9" s="325"/>
      <c r="BH9" s="325"/>
      <c r="BI9" s="326"/>
      <c r="BJ9" s="327" t="s">
        <v>296</v>
      </c>
      <c r="BK9" s="325"/>
      <c r="BL9" s="325"/>
      <c r="BM9" s="326"/>
      <c r="BN9" s="327" t="s">
        <v>297</v>
      </c>
      <c r="BO9" s="325"/>
      <c r="BP9" s="325"/>
      <c r="BQ9" s="328"/>
      <c r="BS9" s="324" t="s">
        <v>295</v>
      </c>
      <c r="BT9" s="325"/>
      <c r="BU9" s="325"/>
      <c r="BV9" s="326"/>
      <c r="BW9" s="327" t="s">
        <v>296</v>
      </c>
      <c r="BX9" s="325"/>
      <c r="BY9" s="325"/>
      <c r="BZ9" s="326"/>
      <c r="CA9" s="327" t="s">
        <v>297</v>
      </c>
      <c r="CB9" s="325"/>
      <c r="CC9" s="325"/>
      <c r="CD9" s="328"/>
      <c r="CF9" s="324" t="s">
        <v>297</v>
      </c>
      <c r="CG9" s="325"/>
      <c r="CH9" s="325"/>
      <c r="CI9" s="328"/>
      <c r="CL9" s="82" t="s">
        <v>295</v>
      </c>
      <c r="CM9" s="74" t="s">
        <v>298</v>
      </c>
      <c r="CN9" s="83" t="s">
        <v>297</v>
      </c>
      <c r="CO9" s="6"/>
      <c r="CP9" s="82" t="s">
        <v>295</v>
      </c>
      <c r="CQ9" s="74" t="s">
        <v>298</v>
      </c>
      <c r="CR9" s="83" t="s">
        <v>297</v>
      </c>
      <c r="CS9" s="6"/>
      <c r="CT9" s="82" t="s">
        <v>295</v>
      </c>
      <c r="CU9" s="74" t="s">
        <v>298</v>
      </c>
      <c r="CV9" s="83" t="s">
        <v>297</v>
      </c>
      <c r="CW9" s="6"/>
      <c r="CX9" s="82" t="s">
        <v>295</v>
      </c>
      <c r="CY9" s="74" t="s">
        <v>298</v>
      </c>
      <c r="CZ9" s="83" t="s">
        <v>297</v>
      </c>
      <c r="DA9" s="6"/>
      <c r="DB9" s="82" t="s">
        <v>295</v>
      </c>
      <c r="DC9" s="74" t="s">
        <v>298</v>
      </c>
      <c r="DD9" s="83" t="s">
        <v>297</v>
      </c>
      <c r="DE9" s="6"/>
      <c r="DF9" s="82" t="s">
        <v>295</v>
      </c>
      <c r="DG9" s="74" t="s">
        <v>298</v>
      </c>
      <c r="DH9" s="83" t="s">
        <v>297</v>
      </c>
      <c r="DI9" s="6"/>
      <c r="DJ9" s="87" t="s">
        <v>297</v>
      </c>
    </row>
    <row r="10" spans="2:114" ht="25.5">
      <c r="B10" s="45" t="s">
        <v>2</v>
      </c>
      <c r="C10" s="45" t="s">
        <v>3</v>
      </c>
      <c r="D10" s="75" t="s">
        <v>4</v>
      </c>
      <c r="E10" s="44" t="s">
        <v>299</v>
      </c>
      <c r="F10" s="76" t="s">
        <v>300</v>
      </c>
      <c r="G10" s="65" t="s">
        <v>301</v>
      </c>
      <c r="H10" s="65" t="s">
        <v>302</v>
      </c>
      <c r="I10" s="72" t="s">
        <v>303</v>
      </c>
      <c r="J10" s="73" t="s">
        <v>300</v>
      </c>
      <c r="K10" s="65" t="s">
        <v>301</v>
      </c>
      <c r="L10" s="65" t="s">
        <v>302</v>
      </c>
      <c r="M10" s="72" t="s">
        <v>303</v>
      </c>
      <c r="N10" s="73" t="s">
        <v>300</v>
      </c>
      <c r="O10" s="65" t="s">
        <v>301</v>
      </c>
      <c r="P10" s="65" t="s">
        <v>302</v>
      </c>
      <c r="Q10" s="77" t="s">
        <v>303</v>
      </c>
      <c r="S10" s="76" t="s">
        <v>300</v>
      </c>
      <c r="T10" s="65" t="s">
        <v>301</v>
      </c>
      <c r="U10" s="65" t="s">
        <v>302</v>
      </c>
      <c r="V10" s="72" t="s">
        <v>303</v>
      </c>
      <c r="W10" s="73" t="s">
        <v>300</v>
      </c>
      <c r="X10" s="65" t="s">
        <v>301</v>
      </c>
      <c r="Y10" s="65" t="s">
        <v>302</v>
      </c>
      <c r="Z10" s="72" t="s">
        <v>303</v>
      </c>
      <c r="AA10" s="73" t="s">
        <v>300</v>
      </c>
      <c r="AB10" s="65" t="s">
        <v>301</v>
      </c>
      <c r="AC10" s="65" t="s">
        <v>302</v>
      </c>
      <c r="AD10" s="77" t="s">
        <v>303</v>
      </c>
      <c r="AF10" s="76" t="s">
        <v>300</v>
      </c>
      <c r="AG10" s="65" t="s">
        <v>301</v>
      </c>
      <c r="AH10" s="65" t="s">
        <v>302</v>
      </c>
      <c r="AI10" s="72" t="s">
        <v>303</v>
      </c>
      <c r="AJ10" s="73" t="s">
        <v>300</v>
      </c>
      <c r="AK10" s="65" t="s">
        <v>301</v>
      </c>
      <c r="AL10" s="65" t="s">
        <v>302</v>
      </c>
      <c r="AM10" s="72" t="s">
        <v>303</v>
      </c>
      <c r="AN10" s="73" t="s">
        <v>300</v>
      </c>
      <c r="AO10" s="65" t="s">
        <v>301</v>
      </c>
      <c r="AP10" s="65" t="s">
        <v>302</v>
      </c>
      <c r="AQ10" s="77" t="s">
        <v>303</v>
      </c>
      <c r="AS10" s="76" t="s">
        <v>300</v>
      </c>
      <c r="AT10" s="65" t="s">
        <v>301</v>
      </c>
      <c r="AU10" s="65" t="s">
        <v>302</v>
      </c>
      <c r="AV10" s="72" t="s">
        <v>303</v>
      </c>
      <c r="AW10" s="73" t="s">
        <v>300</v>
      </c>
      <c r="AX10" s="65" t="s">
        <v>301</v>
      </c>
      <c r="AY10" s="65" t="s">
        <v>302</v>
      </c>
      <c r="AZ10" s="72" t="s">
        <v>303</v>
      </c>
      <c r="BA10" s="73" t="s">
        <v>300</v>
      </c>
      <c r="BB10" s="65" t="s">
        <v>301</v>
      </c>
      <c r="BC10" s="65" t="s">
        <v>302</v>
      </c>
      <c r="BD10" s="77" t="s">
        <v>303</v>
      </c>
      <c r="BF10" s="76" t="s">
        <v>300</v>
      </c>
      <c r="BG10" s="65" t="s">
        <v>301</v>
      </c>
      <c r="BH10" s="65" t="s">
        <v>302</v>
      </c>
      <c r="BI10" s="72" t="s">
        <v>303</v>
      </c>
      <c r="BJ10" s="73" t="s">
        <v>300</v>
      </c>
      <c r="BK10" s="65" t="s">
        <v>301</v>
      </c>
      <c r="BL10" s="65" t="s">
        <v>302</v>
      </c>
      <c r="BM10" s="72" t="s">
        <v>303</v>
      </c>
      <c r="BN10" s="73" t="s">
        <v>300</v>
      </c>
      <c r="BO10" s="65" t="s">
        <v>301</v>
      </c>
      <c r="BP10" s="65" t="s">
        <v>302</v>
      </c>
      <c r="BQ10" s="77" t="s">
        <v>303</v>
      </c>
      <c r="BS10" s="76" t="s">
        <v>300</v>
      </c>
      <c r="BT10" s="65" t="s">
        <v>301</v>
      </c>
      <c r="BU10" s="65" t="s">
        <v>302</v>
      </c>
      <c r="BV10" s="72" t="s">
        <v>303</v>
      </c>
      <c r="BW10" s="73" t="s">
        <v>300</v>
      </c>
      <c r="BX10" s="65" t="s">
        <v>301</v>
      </c>
      <c r="BY10" s="65" t="s">
        <v>302</v>
      </c>
      <c r="BZ10" s="72" t="s">
        <v>303</v>
      </c>
      <c r="CA10" s="73" t="s">
        <v>300</v>
      </c>
      <c r="CB10" s="65" t="s">
        <v>301</v>
      </c>
      <c r="CC10" s="65" t="s">
        <v>302</v>
      </c>
      <c r="CD10" s="77" t="s">
        <v>303</v>
      </c>
      <c r="CF10" s="76" t="s">
        <v>300</v>
      </c>
      <c r="CG10" s="65" t="s">
        <v>301</v>
      </c>
      <c r="CH10" s="65" t="s">
        <v>302</v>
      </c>
      <c r="CI10" s="77" t="s">
        <v>303</v>
      </c>
      <c r="CK10" s="44" t="s">
        <v>299</v>
      </c>
      <c r="CL10" s="84" t="s">
        <v>304</v>
      </c>
      <c r="CM10" s="66" t="s">
        <v>304</v>
      </c>
      <c r="CN10" s="85" t="s">
        <v>304</v>
      </c>
      <c r="CP10" s="84" t="s">
        <v>304</v>
      </c>
      <c r="CQ10" s="66" t="s">
        <v>304</v>
      </c>
      <c r="CR10" s="85" t="s">
        <v>304</v>
      </c>
      <c r="CT10" s="84" t="s">
        <v>304</v>
      </c>
      <c r="CU10" s="66" t="s">
        <v>304</v>
      </c>
      <c r="CV10" s="85" t="s">
        <v>304</v>
      </c>
      <c r="CX10" s="84" t="s">
        <v>304</v>
      </c>
      <c r="CY10" s="66" t="s">
        <v>304</v>
      </c>
      <c r="CZ10" s="85" t="s">
        <v>304</v>
      </c>
      <c r="DB10" s="84" t="s">
        <v>304</v>
      </c>
      <c r="DC10" s="66" t="s">
        <v>304</v>
      </c>
      <c r="DD10" s="85" t="s">
        <v>304</v>
      </c>
      <c r="DF10" s="84" t="s">
        <v>304</v>
      </c>
      <c r="DG10" s="66" t="s">
        <v>304</v>
      </c>
      <c r="DH10" s="85" t="s">
        <v>304</v>
      </c>
      <c r="DJ10" s="88" t="s">
        <v>304</v>
      </c>
    </row>
    <row r="11" spans="2:114">
      <c r="B11" s="274">
        <f>IF(ISBLANK($E11),"",VLOOKUP($E11,Teilnehmer!$B$4:$K$199,2,0))</f>
        <v>3</v>
      </c>
      <c r="C11" s="190">
        <f>IF(ISBLANK($E11),"",VLOOKUP($E11,Teilnehmer!$B$4:$K$199,3,0))</f>
        <v>11</v>
      </c>
      <c r="D11" s="181" t="str">
        <f>IF(ISBLANK($E11),"",VLOOKUP($E11,Teilnehmer!$B$4:$K$199,4,0))</f>
        <v>Brunken Wilfried</v>
      </c>
      <c r="E11" s="182">
        <v>1</v>
      </c>
      <c r="F11" s="257">
        <v>10</v>
      </c>
      <c r="G11" s="255">
        <v>55</v>
      </c>
      <c r="H11" s="255">
        <v>9</v>
      </c>
      <c r="I11" s="258">
        <v>81</v>
      </c>
      <c r="J11" s="257">
        <v>10</v>
      </c>
      <c r="K11" s="255">
        <v>59</v>
      </c>
      <c r="L11" s="255">
        <v>58</v>
      </c>
      <c r="M11" s="258">
        <v>5</v>
      </c>
      <c r="N11" s="257">
        <v>0</v>
      </c>
      <c r="O11" s="255">
        <v>0</v>
      </c>
      <c r="P11" s="255">
        <v>0</v>
      </c>
      <c r="Q11" s="258">
        <v>0</v>
      </c>
      <c r="R11" s="183"/>
      <c r="S11" s="254">
        <v>11</v>
      </c>
      <c r="T11" s="255">
        <v>31</v>
      </c>
      <c r="U11" s="255">
        <v>59</v>
      </c>
      <c r="V11" s="258">
        <v>85</v>
      </c>
      <c r="W11" s="257">
        <v>11</v>
      </c>
      <c r="X11" s="255">
        <v>37</v>
      </c>
      <c r="Y11" s="255">
        <v>53</v>
      </c>
      <c r="Z11" s="256">
        <v>85</v>
      </c>
      <c r="AA11" s="257">
        <v>0</v>
      </c>
      <c r="AB11" s="255">
        <v>0</v>
      </c>
      <c r="AC11" s="255">
        <v>0</v>
      </c>
      <c r="AD11" s="258">
        <v>0</v>
      </c>
      <c r="AE11" s="183"/>
      <c r="AF11" s="254">
        <v>13</v>
      </c>
      <c r="AG11" s="255">
        <v>18</v>
      </c>
      <c r="AH11" s="255">
        <v>52</v>
      </c>
      <c r="AI11" s="256">
        <v>87</v>
      </c>
      <c r="AJ11" s="257">
        <v>13</v>
      </c>
      <c r="AK11" s="255">
        <v>23</v>
      </c>
      <c r="AL11" s="255">
        <v>37</v>
      </c>
      <c r="AM11" s="256">
        <v>64</v>
      </c>
      <c r="AN11" s="257">
        <v>0</v>
      </c>
      <c r="AO11" s="255">
        <v>0</v>
      </c>
      <c r="AP11" s="255">
        <v>0</v>
      </c>
      <c r="AQ11" s="258">
        <v>0</v>
      </c>
      <c r="AR11" s="183"/>
      <c r="AS11" s="254">
        <v>14</v>
      </c>
      <c r="AT11" s="255">
        <v>20</v>
      </c>
      <c r="AU11" s="255">
        <v>3</v>
      </c>
      <c r="AV11" s="256">
        <v>51</v>
      </c>
      <c r="AW11" s="257">
        <v>14</v>
      </c>
      <c r="AX11" s="255">
        <v>25</v>
      </c>
      <c r="AY11" s="255">
        <v>38</v>
      </c>
      <c r="AZ11" s="256">
        <v>34</v>
      </c>
      <c r="BA11" s="257">
        <v>0</v>
      </c>
      <c r="BB11" s="255">
        <v>0</v>
      </c>
      <c r="BC11" s="255">
        <v>0</v>
      </c>
      <c r="BD11" s="258">
        <v>0</v>
      </c>
      <c r="BE11" s="183"/>
      <c r="BF11" s="254">
        <v>14</v>
      </c>
      <c r="BG11" s="255">
        <v>59</v>
      </c>
      <c r="BH11" s="255">
        <v>0</v>
      </c>
      <c r="BI11" s="256">
        <v>22</v>
      </c>
      <c r="BJ11" s="257">
        <v>15</v>
      </c>
      <c r="BK11" s="255">
        <v>3</v>
      </c>
      <c r="BL11" s="255">
        <v>42</v>
      </c>
      <c r="BM11" s="256">
        <v>87</v>
      </c>
      <c r="BN11" s="257">
        <v>0</v>
      </c>
      <c r="BO11" s="255">
        <v>0</v>
      </c>
      <c r="BP11" s="255">
        <v>0</v>
      </c>
      <c r="BQ11" s="258">
        <v>0</v>
      </c>
      <c r="BR11" s="183"/>
      <c r="BS11" s="254">
        <v>0</v>
      </c>
      <c r="BT11" s="255">
        <v>0</v>
      </c>
      <c r="BU11" s="255">
        <v>0</v>
      </c>
      <c r="BV11" s="256">
        <v>0</v>
      </c>
      <c r="BW11" s="257">
        <v>0</v>
      </c>
      <c r="BX11" s="255">
        <v>0</v>
      </c>
      <c r="BY11" s="255">
        <v>0</v>
      </c>
      <c r="BZ11" s="256">
        <v>0</v>
      </c>
      <c r="CA11" s="257">
        <v>0</v>
      </c>
      <c r="CB11" s="255">
        <v>0</v>
      </c>
      <c r="CC11" s="255">
        <v>0</v>
      </c>
      <c r="CD11" s="258">
        <v>0</v>
      </c>
      <c r="CE11" s="183"/>
      <c r="CF11" s="254">
        <v>0</v>
      </c>
      <c r="CG11" s="255">
        <v>0</v>
      </c>
      <c r="CH11" s="255">
        <v>0</v>
      </c>
      <c r="CI11" s="258">
        <v>0</v>
      </c>
      <c r="CJ11" s="183"/>
      <c r="CK11" s="182">
        <v>1</v>
      </c>
      <c r="CL11" s="184" t="str">
        <f t="shared" ref="CL11:CL74" si="6">IF(ISBLANK($E11),"",F11&amp;":"&amp;G11&amp;":"&amp;H11&amp;","&amp;I11)</f>
        <v>10:55:9,81</v>
      </c>
      <c r="CM11" s="185" t="str">
        <f t="shared" ref="CM11:CM74" si="7">IF(ISBLANK($E11),"",J11&amp;":"&amp;K11&amp;":"&amp;L11&amp;","&amp;M11)</f>
        <v>10:59:58,5</v>
      </c>
      <c r="CN11" s="186" t="str">
        <f t="shared" ref="CN11:CN42" si="8">IF(ISBLANK($E11),"",N11&amp;":"&amp;O11&amp;":"&amp;P11&amp;","&amp;Q11)</f>
        <v>0:0:0,0</v>
      </c>
      <c r="CO11" s="183"/>
      <c r="CP11" s="184" t="str">
        <f t="shared" ref="CP11:CP42" si="9">IF(ISBLANK($E11),"",S11&amp;":"&amp;T11&amp;":"&amp;U11&amp;","&amp;V11)</f>
        <v>11:31:59,85</v>
      </c>
      <c r="CQ11" s="185" t="str">
        <f t="shared" ref="CQ11:CQ42" si="10">IF(ISBLANK($E11),"",W11&amp;":"&amp;X11&amp;":"&amp;Y11&amp;","&amp;Z11)</f>
        <v>11:37:53,85</v>
      </c>
      <c r="CR11" s="186" t="str">
        <f t="shared" ref="CR11:CR42" si="11">IF(ISBLANK($E11),"",AA11&amp;":"&amp;AB11&amp;":"&amp;AC11&amp;","&amp;AD11)</f>
        <v>0:0:0,0</v>
      </c>
      <c r="CS11" s="183"/>
      <c r="CT11" s="184" t="str">
        <f t="shared" ref="CT11:CT42" si="12">IF(ISBLANK($E11),"",AF11&amp;":"&amp;AG11&amp;":"&amp;AH11&amp;","&amp;AI11)</f>
        <v>13:18:52,87</v>
      </c>
      <c r="CU11" s="185" t="str">
        <f t="shared" ref="CU11:CU42" si="13">IF(ISBLANK($E11),"",AJ11&amp;":"&amp;AK11&amp;":"&amp;AL11&amp;","&amp;AM11)</f>
        <v>13:23:37,64</v>
      </c>
      <c r="CV11" s="186" t="str">
        <f t="shared" ref="CV11:CV42" si="14">IF(ISBLANK($E11),"",AN11&amp;":"&amp;AO11&amp;":"&amp;AP11&amp;","&amp;AQ11)</f>
        <v>0:0:0,0</v>
      </c>
      <c r="CW11" s="183"/>
      <c r="CX11" s="184" t="str">
        <f t="shared" ref="CX11:CX42" si="15">IF(ISBLANK($E11),"",AS11&amp;":"&amp;AT11&amp;":"&amp;AU11&amp;","&amp;AV11)</f>
        <v>14:20:3,51</v>
      </c>
      <c r="CY11" s="185" t="str">
        <f t="shared" ref="CY11:CY42" si="16">IF(ISBLANK($E11),"",AW11&amp;":"&amp;AX11&amp;":"&amp;AY11&amp;","&amp;AZ11)</f>
        <v>14:25:38,34</v>
      </c>
      <c r="CZ11" s="186" t="str">
        <f t="shared" ref="CZ11:CZ42" si="17">IF(ISBLANK($E11),"",BA11&amp;":"&amp;BB11&amp;":"&amp;BC11&amp;","&amp;BD11)</f>
        <v>0:0:0,0</v>
      </c>
      <c r="DA11" s="183"/>
      <c r="DB11" s="184" t="str">
        <f t="shared" ref="DB11:DB42" si="18">IF(ISBLANK($E11),"",BF11&amp;":"&amp;BG11&amp;":"&amp;BH11&amp;","&amp;BI11)</f>
        <v>14:59:0,22</v>
      </c>
      <c r="DC11" s="185" t="str">
        <f t="shared" ref="DC11:DC42" si="19">IF(ISBLANK($E11),"",BJ11&amp;":"&amp;BK11&amp;":"&amp;BL11&amp;","&amp;BM11)</f>
        <v>15:3:42,87</v>
      </c>
      <c r="DD11" s="186" t="str">
        <f t="shared" ref="DD11:DD42" si="20">IF(ISBLANK($E11),"",BN11&amp;":"&amp;BO11&amp;":"&amp;BP11&amp;","&amp;BQ11)</f>
        <v>0:0:0,0</v>
      </c>
      <c r="DE11" s="183"/>
      <c r="DF11" s="184" t="str">
        <f t="shared" ref="DF11:DF42" si="21">IF(ISBLANK($E11),"",BS11&amp;":"&amp;BT11&amp;":"&amp;BU11&amp;","&amp;BV11)</f>
        <v>0:0:0,0</v>
      </c>
      <c r="DG11" s="185" t="str">
        <f t="shared" ref="DG11:DG42" si="22">IF(ISBLANK($E11),"",BW11&amp;":"&amp;BX11&amp;":"&amp;BY11&amp;","&amp;BZ11)</f>
        <v>0:0:0,0</v>
      </c>
      <c r="DH11" s="186" t="str">
        <f t="shared" ref="DH11:DH42" si="23">IF(ISBLANK($E11),"",CA11&amp;":"&amp;CB11&amp;":"&amp;CC11&amp;","&amp;CD11)</f>
        <v>0:0:0,0</v>
      </c>
      <c r="DI11" s="183"/>
      <c r="DJ11" s="187" t="str">
        <f>IF(ISBLANK($E11),"",CF11&amp;":"&amp;CG11&amp;":"&amp;CH11&amp;","&amp;CI11)</f>
        <v>0:0:0,0</v>
      </c>
    </row>
    <row r="12" spans="2:114">
      <c r="B12" s="274">
        <f>IF(ISBLANK($E12),"",VLOOKUP($E12,Teilnehmer!$B$4:$K$199,2,0))</f>
        <v>3</v>
      </c>
      <c r="C12" s="190">
        <f>IF(ISBLANK($E12),"",VLOOKUP($E12,Teilnehmer!$B$4:$K$199,3,0))</f>
        <v>11</v>
      </c>
      <c r="D12" s="181" t="str">
        <f>IF(ISBLANK($E12),"",VLOOKUP($E12,Teilnehmer!$B$4:$K$199,4,0))</f>
        <v>Schulze Stefan</v>
      </c>
      <c r="E12" s="182">
        <v>2</v>
      </c>
      <c r="F12" s="257">
        <v>10</v>
      </c>
      <c r="G12" s="255">
        <v>55</v>
      </c>
      <c r="H12" s="255">
        <v>33</v>
      </c>
      <c r="I12" s="258">
        <v>61</v>
      </c>
      <c r="J12" s="257">
        <v>11</v>
      </c>
      <c r="K12" s="255">
        <v>0</v>
      </c>
      <c r="L12" s="255">
        <v>19</v>
      </c>
      <c r="M12" s="258">
        <v>81</v>
      </c>
      <c r="N12" s="257">
        <v>0</v>
      </c>
      <c r="O12" s="255">
        <v>0</v>
      </c>
      <c r="P12" s="255">
        <v>0</v>
      </c>
      <c r="Q12" s="258">
        <v>0</v>
      </c>
      <c r="R12" s="183"/>
      <c r="S12" s="254">
        <v>11</v>
      </c>
      <c r="T12" s="255">
        <v>32</v>
      </c>
      <c r="U12" s="255">
        <v>29</v>
      </c>
      <c r="V12" s="258">
        <v>38</v>
      </c>
      <c r="W12" s="257">
        <v>11</v>
      </c>
      <c r="X12" s="255">
        <v>38</v>
      </c>
      <c r="Y12" s="255">
        <v>15</v>
      </c>
      <c r="Z12" s="256">
        <v>66</v>
      </c>
      <c r="AA12" s="257">
        <v>0</v>
      </c>
      <c r="AB12" s="255">
        <v>0</v>
      </c>
      <c r="AC12" s="255">
        <v>0</v>
      </c>
      <c r="AD12" s="258">
        <v>0</v>
      </c>
      <c r="AE12" s="183"/>
      <c r="AF12" s="254">
        <v>13</v>
      </c>
      <c r="AG12" s="255">
        <v>19</v>
      </c>
      <c r="AH12" s="255">
        <v>13</v>
      </c>
      <c r="AI12" s="256">
        <v>77</v>
      </c>
      <c r="AJ12" s="257">
        <v>13</v>
      </c>
      <c r="AK12" s="255">
        <v>23</v>
      </c>
      <c r="AL12" s="255">
        <v>59</v>
      </c>
      <c r="AM12" s="256">
        <v>35</v>
      </c>
      <c r="AN12" s="257">
        <v>0</v>
      </c>
      <c r="AO12" s="255">
        <v>0</v>
      </c>
      <c r="AP12" s="255">
        <v>0</v>
      </c>
      <c r="AQ12" s="258">
        <v>0</v>
      </c>
      <c r="AR12" s="183"/>
      <c r="AS12" s="254">
        <v>14</v>
      </c>
      <c r="AT12" s="255">
        <v>20</v>
      </c>
      <c r="AU12" s="255">
        <v>28</v>
      </c>
      <c r="AV12" s="256">
        <v>51</v>
      </c>
      <c r="AW12" s="257">
        <v>14</v>
      </c>
      <c r="AX12" s="255">
        <v>26</v>
      </c>
      <c r="AY12" s="255">
        <v>2</v>
      </c>
      <c r="AZ12" s="256">
        <v>43</v>
      </c>
      <c r="BA12" s="257">
        <v>0</v>
      </c>
      <c r="BB12" s="255">
        <v>0</v>
      </c>
      <c r="BC12" s="255">
        <v>0</v>
      </c>
      <c r="BD12" s="258">
        <v>0</v>
      </c>
      <c r="BE12" s="183"/>
      <c r="BF12" s="254">
        <v>14</v>
      </c>
      <c r="BG12" s="255">
        <v>59</v>
      </c>
      <c r="BH12" s="255">
        <v>25</v>
      </c>
      <c r="BI12" s="256">
        <v>60</v>
      </c>
      <c r="BJ12" s="257">
        <v>15</v>
      </c>
      <c r="BK12" s="255">
        <v>4</v>
      </c>
      <c r="BL12" s="255">
        <v>13</v>
      </c>
      <c r="BM12" s="256">
        <v>0</v>
      </c>
      <c r="BN12" s="257">
        <v>0</v>
      </c>
      <c r="BO12" s="255">
        <v>0</v>
      </c>
      <c r="BP12" s="255">
        <v>30</v>
      </c>
      <c r="BQ12" s="258">
        <v>0</v>
      </c>
      <c r="BR12" s="183"/>
      <c r="BS12" s="254">
        <v>0</v>
      </c>
      <c r="BT12" s="255">
        <v>0</v>
      </c>
      <c r="BU12" s="255">
        <v>0</v>
      </c>
      <c r="BV12" s="256">
        <v>0</v>
      </c>
      <c r="BW12" s="257">
        <v>0</v>
      </c>
      <c r="BX12" s="255">
        <v>0</v>
      </c>
      <c r="BY12" s="255">
        <v>0</v>
      </c>
      <c r="BZ12" s="256">
        <v>0</v>
      </c>
      <c r="CA12" s="257">
        <v>0</v>
      </c>
      <c r="CB12" s="255">
        <v>0</v>
      </c>
      <c r="CC12" s="255">
        <v>0</v>
      </c>
      <c r="CD12" s="258">
        <v>0</v>
      </c>
      <c r="CE12" s="183"/>
      <c r="CF12" s="254">
        <v>0</v>
      </c>
      <c r="CG12" s="255">
        <v>0</v>
      </c>
      <c r="CH12" s="255">
        <v>0</v>
      </c>
      <c r="CI12" s="258">
        <v>0</v>
      </c>
      <c r="CJ12" s="183"/>
      <c r="CK12" s="182">
        <v>2</v>
      </c>
      <c r="CL12" s="184" t="str">
        <f t="shared" si="6"/>
        <v>10:55:33,61</v>
      </c>
      <c r="CM12" s="185" t="str">
        <f t="shared" si="7"/>
        <v>11:0:19,81</v>
      </c>
      <c r="CN12" s="186" t="str">
        <f t="shared" si="8"/>
        <v>0:0:0,0</v>
      </c>
      <c r="CO12" s="183"/>
      <c r="CP12" s="184" t="str">
        <f t="shared" ref="CP12:CP75" si="24">IF(ISBLANK($E12),"",S12&amp;":"&amp;T12&amp;":"&amp;U12&amp;","&amp;V12)</f>
        <v>11:32:29,38</v>
      </c>
      <c r="CQ12" s="185" t="str">
        <f t="shared" ref="CQ12:CQ75" si="25">IF(ISBLANK($E12),"",W12&amp;":"&amp;X12&amp;":"&amp;Y12&amp;","&amp;Z12)</f>
        <v>11:38:15,66</v>
      </c>
      <c r="CR12" s="186" t="str">
        <f t="shared" ref="CR12:CR75" si="26">IF(ISBLANK($E12),"",AA12&amp;":"&amp;AB12&amp;":"&amp;AC12&amp;","&amp;AD12)</f>
        <v>0:0:0,0</v>
      </c>
      <c r="CS12" s="183"/>
      <c r="CT12" s="184" t="str">
        <f t="shared" ref="CT12:CT75" si="27">IF(ISBLANK($E12),"",AF12&amp;":"&amp;AG12&amp;":"&amp;AH12&amp;","&amp;AI12)</f>
        <v>13:19:13,77</v>
      </c>
      <c r="CU12" s="185" t="str">
        <f t="shared" ref="CU12:CU75" si="28">IF(ISBLANK($E12),"",AJ12&amp;":"&amp;AK12&amp;":"&amp;AL12&amp;","&amp;AM12)</f>
        <v>13:23:59,35</v>
      </c>
      <c r="CV12" s="186" t="str">
        <f t="shared" ref="CV12:CV75" si="29">IF(ISBLANK($E12),"",AN12&amp;":"&amp;AO12&amp;":"&amp;AP12&amp;","&amp;AQ12)</f>
        <v>0:0:0,0</v>
      </c>
      <c r="CW12" s="183"/>
      <c r="CX12" s="184" t="str">
        <f t="shared" ref="CX12:CX75" si="30">IF(ISBLANK($E12),"",AS12&amp;":"&amp;AT12&amp;":"&amp;AU12&amp;","&amp;AV12)</f>
        <v>14:20:28,51</v>
      </c>
      <c r="CY12" s="185" t="str">
        <f t="shared" ref="CY12:CY75" si="31">IF(ISBLANK($E12),"",AW12&amp;":"&amp;AX12&amp;":"&amp;AY12&amp;","&amp;AZ12)</f>
        <v>14:26:2,43</v>
      </c>
      <c r="CZ12" s="186" t="str">
        <f t="shared" ref="CZ12:CZ75" si="32">IF(ISBLANK($E12),"",BA12&amp;":"&amp;BB12&amp;":"&amp;BC12&amp;","&amp;BD12)</f>
        <v>0:0:0,0</v>
      </c>
      <c r="DA12" s="183"/>
      <c r="DB12" s="184" t="str">
        <f t="shared" ref="DB12:DB75" si="33">IF(ISBLANK($E12),"",BF12&amp;":"&amp;BG12&amp;":"&amp;BH12&amp;","&amp;BI12)</f>
        <v>14:59:25,60</v>
      </c>
      <c r="DC12" s="185" t="str">
        <f t="shared" ref="DC12:DC75" si="34">IF(ISBLANK($E12),"",BJ12&amp;":"&amp;BK12&amp;":"&amp;BL12&amp;","&amp;BM12)</f>
        <v>15:4:13,0</v>
      </c>
      <c r="DD12" s="186" t="str">
        <f t="shared" ref="DD12:DD75" si="35">IF(ISBLANK($E12),"",BN12&amp;":"&amp;BO12&amp;":"&amp;BP12&amp;","&amp;BQ12)</f>
        <v>0:0:30,0</v>
      </c>
      <c r="DE12" s="183"/>
      <c r="DF12" s="184" t="str">
        <f t="shared" ref="DF12:DF75" si="36">IF(ISBLANK($E12),"",BS12&amp;":"&amp;BT12&amp;":"&amp;BU12&amp;","&amp;BV12)</f>
        <v>0:0:0,0</v>
      </c>
      <c r="DG12" s="185" t="str">
        <f t="shared" ref="DG12:DG75" si="37">IF(ISBLANK($E12),"",BW12&amp;":"&amp;BX12&amp;":"&amp;BY12&amp;","&amp;BZ12)</f>
        <v>0:0:0,0</v>
      </c>
      <c r="DH12" s="186" t="str">
        <f t="shared" ref="DH12:DH75" si="38">IF(ISBLANK($E12),"",CA12&amp;":"&amp;CB12&amp;":"&amp;CC12&amp;","&amp;CD12)</f>
        <v>0:0:0,0</v>
      </c>
      <c r="DI12" s="183"/>
      <c r="DJ12" s="187" t="str">
        <f t="shared" ref="DJ12:DJ75" si="39">IF(ISBLANK($E12),"",CF12&amp;":"&amp;CG12&amp;":"&amp;CH12&amp;","&amp;CI12)</f>
        <v>0:0:0,0</v>
      </c>
    </row>
    <row r="13" spans="2:114">
      <c r="B13" s="274">
        <f>IF(ISBLANK($E13),"",VLOOKUP($E13,Teilnehmer!$B$4:$K$199,2,0))</f>
        <v>3</v>
      </c>
      <c r="C13" s="190">
        <f>IF(ISBLANK($E13),"",VLOOKUP($E13,Teilnehmer!$B$4:$K$199,3,0))</f>
        <v>11</v>
      </c>
      <c r="D13" s="181" t="str">
        <f>IF(ISBLANK($E13),"",VLOOKUP($E13,Teilnehmer!$B$4:$K$199,4,0))</f>
        <v>Köhler Stephan</v>
      </c>
      <c r="E13" s="182">
        <v>3</v>
      </c>
      <c r="F13" s="257">
        <v>10</v>
      </c>
      <c r="G13" s="255">
        <v>55</v>
      </c>
      <c r="H13" s="255">
        <v>55</v>
      </c>
      <c r="I13" s="258">
        <v>5</v>
      </c>
      <c r="J13" s="257">
        <v>11</v>
      </c>
      <c r="K13" s="255">
        <v>1</v>
      </c>
      <c r="L13" s="255">
        <v>4</v>
      </c>
      <c r="M13" s="258">
        <v>26</v>
      </c>
      <c r="N13" s="257">
        <v>0</v>
      </c>
      <c r="O13" s="255">
        <v>0</v>
      </c>
      <c r="P13" s="255">
        <v>0</v>
      </c>
      <c r="Q13" s="258">
        <v>0</v>
      </c>
      <c r="R13" s="183"/>
      <c r="S13" s="254">
        <v>11</v>
      </c>
      <c r="T13" s="255">
        <v>33</v>
      </c>
      <c r="U13" s="255">
        <v>2</v>
      </c>
      <c r="V13" s="258">
        <v>77</v>
      </c>
      <c r="W13" s="257">
        <v>11</v>
      </c>
      <c r="X13" s="255">
        <v>39</v>
      </c>
      <c r="Y13" s="255">
        <v>29</v>
      </c>
      <c r="Z13" s="256">
        <v>18</v>
      </c>
      <c r="AA13" s="257">
        <v>0</v>
      </c>
      <c r="AB13" s="255">
        <v>0</v>
      </c>
      <c r="AC13" s="255">
        <v>0</v>
      </c>
      <c r="AD13" s="258">
        <v>0</v>
      </c>
      <c r="AE13" s="183"/>
      <c r="AF13" s="254">
        <v>13</v>
      </c>
      <c r="AG13" s="255">
        <v>19</v>
      </c>
      <c r="AH13" s="255">
        <v>56</v>
      </c>
      <c r="AI13" s="256">
        <v>49</v>
      </c>
      <c r="AJ13" s="257">
        <v>13</v>
      </c>
      <c r="AK13" s="255">
        <v>25</v>
      </c>
      <c r="AL13" s="255">
        <v>0</v>
      </c>
      <c r="AM13" s="256">
        <v>83</v>
      </c>
      <c r="AN13" s="257">
        <v>0</v>
      </c>
      <c r="AO13" s="255">
        <v>0</v>
      </c>
      <c r="AP13" s="255">
        <v>0</v>
      </c>
      <c r="AQ13" s="258">
        <v>0</v>
      </c>
      <c r="AR13" s="183"/>
      <c r="AS13" s="254">
        <v>14</v>
      </c>
      <c r="AT13" s="255">
        <v>25</v>
      </c>
      <c r="AU13" s="255">
        <v>8</v>
      </c>
      <c r="AV13" s="256">
        <v>46</v>
      </c>
      <c r="AW13" s="257">
        <v>14</v>
      </c>
      <c r="AX13" s="255">
        <v>31</v>
      </c>
      <c r="AY13" s="255">
        <v>4</v>
      </c>
      <c r="AZ13" s="256">
        <v>5</v>
      </c>
      <c r="BA13" s="257">
        <v>0</v>
      </c>
      <c r="BB13" s="255">
        <v>0</v>
      </c>
      <c r="BC13" s="255">
        <v>0</v>
      </c>
      <c r="BD13" s="258">
        <v>0</v>
      </c>
      <c r="BE13" s="183"/>
      <c r="BF13" s="254">
        <v>14</v>
      </c>
      <c r="BG13" s="255">
        <v>59</v>
      </c>
      <c r="BH13" s="255">
        <v>52</v>
      </c>
      <c r="BI13" s="256">
        <v>74</v>
      </c>
      <c r="BJ13" s="257">
        <v>15</v>
      </c>
      <c r="BK13" s="255">
        <v>4</v>
      </c>
      <c r="BL13" s="255">
        <v>57</v>
      </c>
      <c r="BM13" s="256">
        <v>31</v>
      </c>
      <c r="BN13" s="257">
        <v>0</v>
      </c>
      <c r="BO13" s="255">
        <v>0</v>
      </c>
      <c r="BP13" s="255">
        <v>0</v>
      </c>
      <c r="BQ13" s="258">
        <v>0</v>
      </c>
      <c r="BR13" s="183"/>
      <c r="BS13" s="254">
        <v>0</v>
      </c>
      <c r="BT13" s="255">
        <v>0</v>
      </c>
      <c r="BU13" s="255">
        <v>0</v>
      </c>
      <c r="BV13" s="256">
        <v>0</v>
      </c>
      <c r="BW13" s="257">
        <v>0</v>
      </c>
      <c r="BX13" s="255">
        <v>0</v>
      </c>
      <c r="BY13" s="255">
        <v>0</v>
      </c>
      <c r="BZ13" s="256">
        <v>0</v>
      </c>
      <c r="CA13" s="257">
        <v>0</v>
      </c>
      <c r="CB13" s="255">
        <v>0</v>
      </c>
      <c r="CC13" s="255">
        <v>0</v>
      </c>
      <c r="CD13" s="258">
        <v>0</v>
      </c>
      <c r="CE13" s="183"/>
      <c r="CF13" s="254">
        <v>0</v>
      </c>
      <c r="CG13" s="255">
        <v>0</v>
      </c>
      <c r="CH13" s="255">
        <v>0</v>
      </c>
      <c r="CI13" s="258">
        <v>0</v>
      </c>
      <c r="CJ13" s="183"/>
      <c r="CK13" s="182">
        <v>3</v>
      </c>
      <c r="CL13" s="184" t="str">
        <f t="shared" si="6"/>
        <v>10:55:55,5</v>
      </c>
      <c r="CM13" s="185" t="str">
        <f t="shared" si="7"/>
        <v>11:1:4,26</v>
      </c>
      <c r="CN13" s="186" t="str">
        <f t="shared" si="8"/>
        <v>0:0:0,0</v>
      </c>
      <c r="CO13" s="183"/>
      <c r="CP13" s="184" t="str">
        <f t="shared" si="24"/>
        <v>11:33:2,77</v>
      </c>
      <c r="CQ13" s="185" t="str">
        <f t="shared" si="25"/>
        <v>11:39:29,18</v>
      </c>
      <c r="CR13" s="186" t="str">
        <f t="shared" si="26"/>
        <v>0:0:0,0</v>
      </c>
      <c r="CS13" s="183"/>
      <c r="CT13" s="184" t="str">
        <f t="shared" si="27"/>
        <v>13:19:56,49</v>
      </c>
      <c r="CU13" s="185" t="str">
        <f t="shared" si="28"/>
        <v>13:25:0,83</v>
      </c>
      <c r="CV13" s="186" t="str">
        <f t="shared" si="29"/>
        <v>0:0:0,0</v>
      </c>
      <c r="CW13" s="183"/>
      <c r="CX13" s="184" t="str">
        <f t="shared" si="30"/>
        <v>14:25:8,46</v>
      </c>
      <c r="CY13" s="185" t="str">
        <f t="shared" si="31"/>
        <v>14:31:4,5</v>
      </c>
      <c r="CZ13" s="186" t="str">
        <f t="shared" si="32"/>
        <v>0:0:0,0</v>
      </c>
      <c r="DA13" s="183"/>
      <c r="DB13" s="184" t="str">
        <f t="shared" si="33"/>
        <v>14:59:52,74</v>
      </c>
      <c r="DC13" s="185" t="str">
        <f t="shared" si="34"/>
        <v>15:4:57,31</v>
      </c>
      <c r="DD13" s="186" t="str">
        <f t="shared" si="35"/>
        <v>0:0:0,0</v>
      </c>
      <c r="DE13" s="183"/>
      <c r="DF13" s="184" t="str">
        <f t="shared" si="36"/>
        <v>0:0:0,0</v>
      </c>
      <c r="DG13" s="185" t="str">
        <f t="shared" si="37"/>
        <v>0:0:0,0</v>
      </c>
      <c r="DH13" s="186" t="str">
        <f t="shared" si="38"/>
        <v>0:0:0,0</v>
      </c>
      <c r="DI13" s="183"/>
      <c r="DJ13" s="187" t="str">
        <f t="shared" si="39"/>
        <v>0:0:0,0</v>
      </c>
    </row>
    <row r="14" spans="2:114">
      <c r="B14" s="274">
        <f>IF(ISBLANK($E14),"",VLOOKUP($E14,Teilnehmer!$B$4:$K$199,2,0))</f>
        <v>3</v>
      </c>
      <c r="C14" s="190">
        <f>IF(ISBLANK($E14),"",VLOOKUP($E14,Teilnehmer!$B$4:$K$199,3,0))</f>
        <v>11</v>
      </c>
      <c r="D14" s="181" t="str">
        <f>IF(ISBLANK($E14),"",VLOOKUP($E14,Teilnehmer!$B$4:$K$199,4,0))</f>
        <v>Rader Manfred</v>
      </c>
      <c r="E14" s="182">
        <v>4</v>
      </c>
      <c r="F14" s="257">
        <v>10</v>
      </c>
      <c r="G14" s="255">
        <v>56</v>
      </c>
      <c r="H14" s="255">
        <v>29</v>
      </c>
      <c r="I14" s="258">
        <v>20</v>
      </c>
      <c r="J14" s="257">
        <v>11</v>
      </c>
      <c r="K14" s="255">
        <v>1</v>
      </c>
      <c r="L14" s="255">
        <v>42</v>
      </c>
      <c r="M14" s="258">
        <v>23</v>
      </c>
      <c r="N14" s="257">
        <v>0</v>
      </c>
      <c r="O14" s="255">
        <v>0</v>
      </c>
      <c r="P14" s="255">
        <v>0</v>
      </c>
      <c r="Q14" s="258">
        <v>0</v>
      </c>
      <c r="R14" s="183"/>
      <c r="S14" s="218"/>
      <c r="T14" s="218"/>
      <c r="U14" s="218"/>
      <c r="V14" s="218"/>
      <c r="W14" s="218"/>
      <c r="X14" s="218"/>
      <c r="Y14" s="218"/>
      <c r="Z14" s="218"/>
      <c r="AA14" s="257">
        <v>0</v>
      </c>
      <c r="AB14" s="255">
        <v>0</v>
      </c>
      <c r="AC14" s="255">
        <v>0</v>
      </c>
      <c r="AD14" s="258">
        <v>0</v>
      </c>
      <c r="AE14" s="183"/>
      <c r="AF14" s="218"/>
      <c r="AG14" s="218"/>
      <c r="AH14" s="218"/>
      <c r="AI14" s="218"/>
      <c r="AJ14" s="218"/>
      <c r="AK14" s="218"/>
      <c r="AL14" s="218"/>
      <c r="AM14" s="218"/>
      <c r="AN14" s="257">
        <v>0</v>
      </c>
      <c r="AO14" s="255">
        <v>0</v>
      </c>
      <c r="AP14" s="255">
        <v>0</v>
      </c>
      <c r="AQ14" s="258">
        <v>0</v>
      </c>
      <c r="AR14" s="183"/>
      <c r="AS14" s="218"/>
      <c r="AT14" s="218"/>
      <c r="AU14" s="218"/>
      <c r="AV14" s="218"/>
      <c r="AW14" s="218"/>
      <c r="AX14" s="218"/>
      <c r="AY14" s="218"/>
      <c r="AZ14" s="218"/>
      <c r="BA14" s="257">
        <v>0</v>
      </c>
      <c r="BB14" s="255">
        <v>0</v>
      </c>
      <c r="BC14" s="255">
        <v>0</v>
      </c>
      <c r="BD14" s="258">
        <v>0</v>
      </c>
      <c r="BE14" s="183"/>
      <c r="BF14" s="218"/>
      <c r="BG14" s="218"/>
      <c r="BH14" s="218"/>
      <c r="BI14" s="218"/>
      <c r="BJ14" s="218"/>
      <c r="BK14" s="218"/>
      <c r="BL14" s="218"/>
      <c r="BM14" s="218"/>
      <c r="BN14" s="257">
        <v>0</v>
      </c>
      <c r="BO14" s="255">
        <v>0</v>
      </c>
      <c r="BP14" s="255">
        <v>0</v>
      </c>
      <c r="BQ14" s="258">
        <v>0</v>
      </c>
      <c r="BR14" s="183"/>
      <c r="BS14" s="254">
        <v>0</v>
      </c>
      <c r="BT14" s="255">
        <v>0</v>
      </c>
      <c r="BU14" s="255">
        <v>0</v>
      </c>
      <c r="BV14" s="256">
        <v>0</v>
      </c>
      <c r="BW14" s="257">
        <v>0</v>
      </c>
      <c r="BX14" s="255">
        <v>0</v>
      </c>
      <c r="BY14" s="255">
        <v>0</v>
      </c>
      <c r="BZ14" s="256">
        <v>0</v>
      </c>
      <c r="CA14" s="257">
        <v>0</v>
      </c>
      <c r="CB14" s="255">
        <v>0</v>
      </c>
      <c r="CC14" s="255">
        <v>0</v>
      </c>
      <c r="CD14" s="258">
        <v>0</v>
      </c>
      <c r="CE14" s="183"/>
      <c r="CF14" s="254">
        <v>0</v>
      </c>
      <c r="CG14" s="255">
        <v>0</v>
      </c>
      <c r="CH14" s="255">
        <v>0</v>
      </c>
      <c r="CI14" s="258">
        <v>0</v>
      </c>
      <c r="CJ14" s="183"/>
      <c r="CK14" s="182">
        <v>4</v>
      </c>
      <c r="CL14" s="184" t="str">
        <f t="shared" si="6"/>
        <v>10:56:29,20</v>
      </c>
      <c r="CM14" s="185" t="str">
        <f t="shared" si="7"/>
        <v>11:1:42,23</v>
      </c>
      <c r="CN14" s="186" t="str">
        <f t="shared" si="8"/>
        <v>0:0:0,0</v>
      </c>
      <c r="CO14" s="183"/>
      <c r="CP14" s="184" t="str">
        <f t="shared" si="24"/>
        <v>::,</v>
      </c>
      <c r="CQ14" s="185" t="str">
        <f t="shared" si="25"/>
        <v>::,</v>
      </c>
      <c r="CR14" s="186" t="str">
        <f t="shared" si="26"/>
        <v>0:0:0,0</v>
      </c>
      <c r="CS14" s="183"/>
      <c r="CT14" s="184" t="str">
        <f t="shared" si="27"/>
        <v>::,</v>
      </c>
      <c r="CU14" s="185" t="str">
        <f t="shared" si="28"/>
        <v>::,</v>
      </c>
      <c r="CV14" s="186" t="str">
        <f t="shared" si="29"/>
        <v>0:0:0,0</v>
      </c>
      <c r="CW14" s="183"/>
      <c r="CX14" s="184" t="str">
        <f t="shared" si="30"/>
        <v>::,</v>
      </c>
      <c r="CY14" s="185" t="str">
        <f t="shared" si="31"/>
        <v>::,</v>
      </c>
      <c r="CZ14" s="186" t="str">
        <f t="shared" si="32"/>
        <v>0:0:0,0</v>
      </c>
      <c r="DA14" s="183"/>
      <c r="DB14" s="184" t="str">
        <f t="shared" si="33"/>
        <v>::,</v>
      </c>
      <c r="DC14" s="185" t="str">
        <f t="shared" si="34"/>
        <v>::,</v>
      </c>
      <c r="DD14" s="186" t="str">
        <f t="shared" si="35"/>
        <v>0:0:0,0</v>
      </c>
      <c r="DE14" s="183"/>
      <c r="DF14" s="184" t="str">
        <f t="shared" si="36"/>
        <v>0:0:0,0</v>
      </c>
      <c r="DG14" s="185" t="str">
        <f t="shared" si="37"/>
        <v>0:0:0,0</v>
      </c>
      <c r="DH14" s="186" t="str">
        <f t="shared" si="38"/>
        <v>0:0:0,0</v>
      </c>
      <c r="DI14" s="183"/>
      <c r="DJ14" s="187" t="str">
        <f t="shared" si="39"/>
        <v>0:0:0,0</v>
      </c>
    </row>
    <row r="15" spans="2:114">
      <c r="B15" s="274">
        <f>IF(ISBLANK($E15),"",VLOOKUP($E15,Teilnehmer!$B$4:$K$199,2,0))</f>
        <v>3</v>
      </c>
      <c r="C15" s="190">
        <f>IF(ISBLANK($E15),"",VLOOKUP($E15,Teilnehmer!$B$4:$K$199,3,0))</f>
        <v>11</v>
      </c>
      <c r="D15" s="181" t="str">
        <f>IF(ISBLANK($E15),"",VLOOKUP($E15,Teilnehmer!$B$4:$K$199,4,0))</f>
        <v>Paul Gerhard</v>
      </c>
      <c r="E15" s="182">
        <v>5</v>
      </c>
      <c r="F15" s="257">
        <v>10</v>
      </c>
      <c r="G15" s="255">
        <v>57</v>
      </c>
      <c r="H15" s="255">
        <v>44</v>
      </c>
      <c r="I15" s="258">
        <v>77</v>
      </c>
      <c r="J15" s="257">
        <v>11</v>
      </c>
      <c r="K15" s="255">
        <v>3</v>
      </c>
      <c r="L15" s="255">
        <v>23</v>
      </c>
      <c r="M15" s="258">
        <v>86</v>
      </c>
      <c r="N15" s="257">
        <v>0</v>
      </c>
      <c r="O15" s="255">
        <v>0</v>
      </c>
      <c r="P15" s="255">
        <v>0</v>
      </c>
      <c r="Q15" s="258">
        <v>0</v>
      </c>
      <c r="R15" s="183"/>
      <c r="S15" s="254">
        <v>11</v>
      </c>
      <c r="T15" s="255">
        <v>38</v>
      </c>
      <c r="U15" s="255">
        <v>38</v>
      </c>
      <c r="V15" s="258">
        <v>69</v>
      </c>
      <c r="W15" s="218"/>
      <c r="X15" s="218"/>
      <c r="Y15" s="218"/>
      <c r="Z15" s="218"/>
      <c r="AA15" s="257">
        <v>0</v>
      </c>
      <c r="AB15" s="255">
        <v>0</v>
      </c>
      <c r="AC15" s="255">
        <v>0</v>
      </c>
      <c r="AD15" s="258">
        <v>0</v>
      </c>
      <c r="AE15" s="183"/>
      <c r="AF15" s="218"/>
      <c r="AG15" s="218"/>
      <c r="AH15" s="218"/>
      <c r="AI15" s="218"/>
      <c r="AJ15" s="218"/>
      <c r="AK15" s="218"/>
      <c r="AL15" s="218"/>
      <c r="AM15" s="218"/>
      <c r="AN15" s="257">
        <v>0</v>
      </c>
      <c r="AO15" s="255">
        <v>0</v>
      </c>
      <c r="AP15" s="255">
        <v>0</v>
      </c>
      <c r="AQ15" s="258">
        <v>0</v>
      </c>
      <c r="AR15" s="183"/>
      <c r="AS15" s="218"/>
      <c r="AT15" s="218"/>
      <c r="AU15" s="218"/>
      <c r="AV15" s="218"/>
      <c r="AW15" s="218"/>
      <c r="AX15" s="218"/>
      <c r="AY15" s="218"/>
      <c r="AZ15" s="218"/>
      <c r="BA15" s="257">
        <v>0</v>
      </c>
      <c r="BB15" s="255">
        <v>0</v>
      </c>
      <c r="BC15" s="255">
        <v>0</v>
      </c>
      <c r="BD15" s="258">
        <v>0</v>
      </c>
      <c r="BE15" s="183"/>
      <c r="BF15" s="218"/>
      <c r="BG15" s="218"/>
      <c r="BH15" s="218"/>
      <c r="BI15" s="218"/>
      <c r="BJ15" s="218"/>
      <c r="BK15" s="218"/>
      <c r="BL15" s="218"/>
      <c r="BM15" s="218"/>
      <c r="BN15" s="257">
        <v>0</v>
      </c>
      <c r="BO15" s="255">
        <v>0</v>
      </c>
      <c r="BP15" s="255">
        <v>0</v>
      </c>
      <c r="BQ15" s="258">
        <v>0</v>
      </c>
      <c r="BR15" s="183"/>
      <c r="BS15" s="254">
        <v>0</v>
      </c>
      <c r="BT15" s="255">
        <v>0</v>
      </c>
      <c r="BU15" s="255">
        <v>0</v>
      </c>
      <c r="BV15" s="256">
        <v>0</v>
      </c>
      <c r="BW15" s="257">
        <v>0</v>
      </c>
      <c r="BX15" s="255">
        <v>0</v>
      </c>
      <c r="BY15" s="255">
        <v>0</v>
      </c>
      <c r="BZ15" s="256">
        <v>0</v>
      </c>
      <c r="CA15" s="257">
        <v>0</v>
      </c>
      <c r="CB15" s="255">
        <v>0</v>
      </c>
      <c r="CC15" s="255">
        <v>0</v>
      </c>
      <c r="CD15" s="258">
        <v>0</v>
      </c>
      <c r="CE15" s="183"/>
      <c r="CF15" s="254">
        <v>0</v>
      </c>
      <c r="CG15" s="255">
        <v>0</v>
      </c>
      <c r="CH15" s="255">
        <v>0</v>
      </c>
      <c r="CI15" s="258">
        <v>0</v>
      </c>
      <c r="CJ15" s="183"/>
      <c r="CK15" s="182">
        <v>5</v>
      </c>
      <c r="CL15" s="184" t="str">
        <f t="shared" si="6"/>
        <v>10:57:44,77</v>
      </c>
      <c r="CM15" s="185" t="str">
        <f t="shared" si="7"/>
        <v>11:3:23,86</v>
      </c>
      <c r="CN15" s="186" t="str">
        <f t="shared" si="8"/>
        <v>0:0:0,0</v>
      </c>
      <c r="CO15" s="183"/>
      <c r="CP15" s="184" t="str">
        <f t="shared" si="24"/>
        <v>11:38:38,69</v>
      </c>
      <c r="CQ15" s="185" t="str">
        <f t="shared" si="25"/>
        <v>::,</v>
      </c>
      <c r="CR15" s="186" t="str">
        <f t="shared" si="26"/>
        <v>0:0:0,0</v>
      </c>
      <c r="CS15" s="183"/>
      <c r="CT15" s="184" t="str">
        <f t="shared" si="27"/>
        <v>::,</v>
      </c>
      <c r="CU15" s="185" t="str">
        <f t="shared" si="28"/>
        <v>::,</v>
      </c>
      <c r="CV15" s="186" t="str">
        <f t="shared" si="29"/>
        <v>0:0:0,0</v>
      </c>
      <c r="CW15" s="183"/>
      <c r="CX15" s="184" t="str">
        <f t="shared" si="30"/>
        <v>::,</v>
      </c>
      <c r="CY15" s="185" t="str">
        <f t="shared" si="31"/>
        <v>::,</v>
      </c>
      <c r="CZ15" s="186" t="str">
        <f t="shared" si="32"/>
        <v>0:0:0,0</v>
      </c>
      <c r="DA15" s="183"/>
      <c r="DB15" s="184" t="str">
        <f t="shared" si="33"/>
        <v>::,</v>
      </c>
      <c r="DC15" s="185" t="str">
        <f t="shared" si="34"/>
        <v>::,</v>
      </c>
      <c r="DD15" s="186" t="str">
        <f t="shared" si="35"/>
        <v>0:0:0,0</v>
      </c>
      <c r="DE15" s="183"/>
      <c r="DF15" s="184" t="str">
        <f t="shared" si="36"/>
        <v>0:0:0,0</v>
      </c>
      <c r="DG15" s="185" t="str">
        <f t="shared" si="37"/>
        <v>0:0:0,0</v>
      </c>
      <c r="DH15" s="186" t="str">
        <f t="shared" si="38"/>
        <v>0:0:0,0</v>
      </c>
      <c r="DI15" s="183"/>
      <c r="DJ15" s="187" t="str">
        <f t="shared" si="39"/>
        <v>0:0:0,0</v>
      </c>
    </row>
    <row r="16" spans="2:114">
      <c r="B16" s="274">
        <f>IF(ISBLANK($E16),"",VLOOKUP($E16,Teilnehmer!$B$4:$K$199,2,0))</f>
        <v>3</v>
      </c>
      <c r="C16" s="190">
        <f>IF(ISBLANK($E16),"",VLOOKUP($E16,Teilnehmer!$B$4:$K$199,3,0))</f>
        <v>11</v>
      </c>
      <c r="D16" s="181" t="str">
        <f>IF(ISBLANK($E16),"",VLOOKUP($E16,Teilnehmer!$B$4:$K$199,4,0))</f>
        <v>Honke Reinhard</v>
      </c>
      <c r="E16" s="182">
        <v>6</v>
      </c>
      <c r="F16" s="257">
        <v>10</v>
      </c>
      <c r="G16" s="255">
        <v>59</v>
      </c>
      <c r="H16" s="255">
        <v>33</v>
      </c>
      <c r="I16" s="258">
        <v>78</v>
      </c>
      <c r="J16" s="257">
        <v>11</v>
      </c>
      <c r="K16" s="255">
        <v>5</v>
      </c>
      <c r="L16" s="255">
        <v>28</v>
      </c>
      <c r="M16" s="258">
        <v>0</v>
      </c>
      <c r="N16" s="257">
        <v>0</v>
      </c>
      <c r="O16" s="255">
        <v>0</v>
      </c>
      <c r="P16" s="255">
        <v>30</v>
      </c>
      <c r="Q16" s="258">
        <v>0</v>
      </c>
      <c r="R16" s="183"/>
      <c r="S16" s="254">
        <v>11</v>
      </c>
      <c r="T16" s="255">
        <v>39</v>
      </c>
      <c r="U16" s="255">
        <v>29</v>
      </c>
      <c r="V16" s="258">
        <v>91</v>
      </c>
      <c r="W16" s="257">
        <v>11</v>
      </c>
      <c r="X16" s="255">
        <v>45</v>
      </c>
      <c r="Y16" s="255">
        <v>41</v>
      </c>
      <c r="Z16" s="256">
        <v>47</v>
      </c>
      <c r="AA16" s="257">
        <v>0</v>
      </c>
      <c r="AB16" s="255">
        <v>0</v>
      </c>
      <c r="AC16" s="255">
        <v>0</v>
      </c>
      <c r="AD16" s="258">
        <v>0</v>
      </c>
      <c r="AE16" s="183"/>
      <c r="AF16" s="254">
        <v>13</v>
      </c>
      <c r="AG16" s="255">
        <v>21</v>
      </c>
      <c r="AH16" s="255">
        <v>20</v>
      </c>
      <c r="AI16" s="256">
        <v>89</v>
      </c>
      <c r="AJ16" s="257">
        <v>13</v>
      </c>
      <c r="AK16" s="255">
        <v>26</v>
      </c>
      <c r="AL16" s="255">
        <v>35</v>
      </c>
      <c r="AM16" s="256">
        <v>14</v>
      </c>
      <c r="AN16" s="257">
        <v>0</v>
      </c>
      <c r="AO16" s="255">
        <v>0</v>
      </c>
      <c r="AP16" s="255">
        <v>0</v>
      </c>
      <c r="AQ16" s="258">
        <v>0</v>
      </c>
      <c r="AR16" s="183"/>
      <c r="AS16" s="254">
        <v>14</v>
      </c>
      <c r="AT16" s="255">
        <v>25</v>
      </c>
      <c r="AU16" s="255">
        <v>36</v>
      </c>
      <c r="AV16" s="256">
        <v>79</v>
      </c>
      <c r="AW16" s="257">
        <v>14</v>
      </c>
      <c r="AX16" s="255">
        <v>31</v>
      </c>
      <c r="AY16" s="255">
        <v>33</v>
      </c>
      <c r="AZ16" s="256">
        <v>53</v>
      </c>
      <c r="BA16" s="257">
        <v>0</v>
      </c>
      <c r="BB16" s="255">
        <v>0</v>
      </c>
      <c r="BC16" s="255">
        <v>0</v>
      </c>
      <c r="BD16" s="258">
        <v>0</v>
      </c>
      <c r="BE16" s="183"/>
      <c r="BF16" s="254">
        <v>15</v>
      </c>
      <c r="BG16" s="255">
        <v>0</v>
      </c>
      <c r="BH16" s="255">
        <v>23</v>
      </c>
      <c r="BI16" s="256">
        <v>33</v>
      </c>
      <c r="BJ16" s="257">
        <v>15</v>
      </c>
      <c r="BK16" s="255">
        <v>5</v>
      </c>
      <c r="BL16" s="255">
        <v>31</v>
      </c>
      <c r="BM16" s="256">
        <v>85</v>
      </c>
      <c r="BN16" s="257">
        <v>0</v>
      </c>
      <c r="BO16" s="255">
        <v>0</v>
      </c>
      <c r="BP16" s="255">
        <v>0</v>
      </c>
      <c r="BQ16" s="258">
        <v>0</v>
      </c>
      <c r="BR16" s="183"/>
      <c r="BS16" s="254">
        <v>0</v>
      </c>
      <c r="BT16" s="255">
        <v>0</v>
      </c>
      <c r="BU16" s="255">
        <v>0</v>
      </c>
      <c r="BV16" s="256">
        <v>0</v>
      </c>
      <c r="BW16" s="257">
        <v>0</v>
      </c>
      <c r="BX16" s="255">
        <v>0</v>
      </c>
      <c r="BY16" s="255">
        <v>0</v>
      </c>
      <c r="BZ16" s="256">
        <v>0</v>
      </c>
      <c r="CA16" s="257">
        <v>0</v>
      </c>
      <c r="CB16" s="255">
        <v>0</v>
      </c>
      <c r="CC16" s="255">
        <v>0</v>
      </c>
      <c r="CD16" s="258">
        <v>0</v>
      </c>
      <c r="CE16" s="183"/>
      <c r="CF16" s="254">
        <v>0</v>
      </c>
      <c r="CG16" s="255">
        <v>0</v>
      </c>
      <c r="CH16" s="255">
        <v>0</v>
      </c>
      <c r="CI16" s="258">
        <v>0</v>
      </c>
      <c r="CJ16" s="183"/>
      <c r="CK16" s="182">
        <v>6</v>
      </c>
      <c r="CL16" s="184" t="str">
        <f t="shared" si="6"/>
        <v>10:59:33,78</v>
      </c>
      <c r="CM16" s="185" t="str">
        <f t="shared" si="7"/>
        <v>11:5:28,0</v>
      </c>
      <c r="CN16" s="186" t="str">
        <f t="shared" si="8"/>
        <v>0:0:30,0</v>
      </c>
      <c r="CO16" s="183"/>
      <c r="CP16" s="184" t="str">
        <f t="shared" si="24"/>
        <v>11:39:29,91</v>
      </c>
      <c r="CQ16" s="185" t="str">
        <f t="shared" si="25"/>
        <v>11:45:41,47</v>
      </c>
      <c r="CR16" s="186" t="str">
        <f t="shared" si="26"/>
        <v>0:0:0,0</v>
      </c>
      <c r="CS16" s="183"/>
      <c r="CT16" s="184" t="str">
        <f t="shared" si="27"/>
        <v>13:21:20,89</v>
      </c>
      <c r="CU16" s="185" t="str">
        <f t="shared" si="28"/>
        <v>13:26:35,14</v>
      </c>
      <c r="CV16" s="186" t="str">
        <f t="shared" si="29"/>
        <v>0:0:0,0</v>
      </c>
      <c r="CW16" s="183"/>
      <c r="CX16" s="184" t="str">
        <f t="shared" si="30"/>
        <v>14:25:36,79</v>
      </c>
      <c r="CY16" s="185" t="str">
        <f t="shared" si="31"/>
        <v>14:31:33,53</v>
      </c>
      <c r="CZ16" s="186" t="str">
        <f t="shared" si="32"/>
        <v>0:0:0,0</v>
      </c>
      <c r="DA16" s="183"/>
      <c r="DB16" s="184" t="str">
        <f t="shared" si="33"/>
        <v>15:0:23,33</v>
      </c>
      <c r="DC16" s="185" t="str">
        <f t="shared" si="34"/>
        <v>15:5:31,85</v>
      </c>
      <c r="DD16" s="186" t="str">
        <f t="shared" si="35"/>
        <v>0:0:0,0</v>
      </c>
      <c r="DE16" s="183"/>
      <c r="DF16" s="184" t="str">
        <f t="shared" si="36"/>
        <v>0:0:0,0</v>
      </c>
      <c r="DG16" s="185" t="str">
        <f t="shared" si="37"/>
        <v>0:0:0,0</v>
      </c>
      <c r="DH16" s="186" t="str">
        <f t="shared" si="38"/>
        <v>0:0:0,0</v>
      </c>
      <c r="DI16" s="183"/>
      <c r="DJ16" s="187" t="str">
        <f t="shared" si="39"/>
        <v>0:0:0,0</v>
      </c>
    </row>
    <row r="17" spans="2:114">
      <c r="B17" s="274">
        <f>IF(ISBLANK($E17),"",VLOOKUP($E17,Teilnehmer!$B$4:$K$199,2,0))</f>
        <v>3</v>
      </c>
      <c r="C17" s="190">
        <f>IF(ISBLANK($E17),"",VLOOKUP($E17,Teilnehmer!$B$4:$K$199,3,0))</f>
        <v>11</v>
      </c>
      <c r="D17" s="181" t="str">
        <f>IF(ISBLANK($E17),"",VLOOKUP($E17,Teilnehmer!$B$4:$K$199,4,0))</f>
        <v>Kübler Ulrich</v>
      </c>
      <c r="E17" s="182">
        <v>7</v>
      </c>
      <c r="F17" s="257">
        <v>11</v>
      </c>
      <c r="G17" s="255">
        <v>0</v>
      </c>
      <c r="H17" s="255">
        <v>56</v>
      </c>
      <c r="I17" s="258">
        <v>24</v>
      </c>
      <c r="J17" s="257">
        <v>11</v>
      </c>
      <c r="K17" s="255">
        <v>6</v>
      </c>
      <c r="L17" s="255">
        <v>2</v>
      </c>
      <c r="M17" s="258">
        <v>50</v>
      </c>
      <c r="N17" s="257">
        <v>0</v>
      </c>
      <c r="O17" s="255">
        <v>0</v>
      </c>
      <c r="P17" s="255">
        <v>0</v>
      </c>
      <c r="Q17" s="258">
        <v>0</v>
      </c>
      <c r="R17" s="183"/>
      <c r="S17" s="254">
        <v>11</v>
      </c>
      <c r="T17" s="255">
        <v>40</v>
      </c>
      <c r="U17" s="255">
        <v>3</v>
      </c>
      <c r="V17" s="258">
        <v>15</v>
      </c>
      <c r="W17" s="257">
        <v>11</v>
      </c>
      <c r="X17" s="255">
        <v>46</v>
      </c>
      <c r="Y17" s="255">
        <v>2</v>
      </c>
      <c r="Z17" s="256">
        <v>7</v>
      </c>
      <c r="AA17" s="257">
        <v>0</v>
      </c>
      <c r="AB17" s="255">
        <v>0</v>
      </c>
      <c r="AC17" s="255">
        <v>0</v>
      </c>
      <c r="AD17" s="258">
        <v>0</v>
      </c>
      <c r="AE17" s="183"/>
      <c r="AF17" s="254">
        <v>13</v>
      </c>
      <c r="AG17" s="255">
        <v>22</v>
      </c>
      <c r="AH17" s="255">
        <v>17</v>
      </c>
      <c r="AI17" s="256">
        <v>97</v>
      </c>
      <c r="AJ17" s="257">
        <v>13</v>
      </c>
      <c r="AK17" s="255">
        <v>27</v>
      </c>
      <c r="AL17" s="255">
        <v>18</v>
      </c>
      <c r="AM17" s="256">
        <v>44</v>
      </c>
      <c r="AN17" s="257">
        <v>0</v>
      </c>
      <c r="AO17" s="255">
        <v>0</v>
      </c>
      <c r="AP17" s="255">
        <v>0</v>
      </c>
      <c r="AQ17" s="258">
        <v>0</v>
      </c>
      <c r="AR17" s="183"/>
      <c r="AS17" s="254">
        <v>14</v>
      </c>
      <c r="AT17" s="255">
        <v>25</v>
      </c>
      <c r="AU17" s="255">
        <v>57</v>
      </c>
      <c r="AV17" s="256">
        <v>92</v>
      </c>
      <c r="AW17" s="257">
        <v>14</v>
      </c>
      <c r="AX17" s="255">
        <v>31</v>
      </c>
      <c r="AY17" s="255">
        <v>42</v>
      </c>
      <c r="AZ17" s="256">
        <v>66</v>
      </c>
      <c r="BA17" s="257">
        <v>0</v>
      </c>
      <c r="BB17" s="255">
        <v>0</v>
      </c>
      <c r="BC17" s="255">
        <v>0</v>
      </c>
      <c r="BD17" s="258">
        <v>0</v>
      </c>
      <c r="BE17" s="183"/>
      <c r="BF17" s="254">
        <v>15</v>
      </c>
      <c r="BG17" s="255">
        <v>1</v>
      </c>
      <c r="BH17" s="255">
        <v>29</v>
      </c>
      <c r="BI17" s="256">
        <v>80</v>
      </c>
      <c r="BJ17" s="257">
        <v>15</v>
      </c>
      <c r="BK17" s="255">
        <v>6</v>
      </c>
      <c r="BL17" s="255">
        <v>31</v>
      </c>
      <c r="BM17" s="256">
        <v>75</v>
      </c>
      <c r="BN17" s="257">
        <v>0</v>
      </c>
      <c r="BO17" s="255">
        <v>0</v>
      </c>
      <c r="BP17" s="255">
        <v>0</v>
      </c>
      <c r="BQ17" s="258">
        <v>0</v>
      </c>
      <c r="BR17" s="183"/>
      <c r="BS17" s="254">
        <v>0</v>
      </c>
      <c r="BT17" s="255">
        <v>0</v>
      </c>
      <c r="BU17" s="255">
        <v>0</v>
      </c>
      <c r="BV17" s="256">
        <v>0</v>
      </c>
      <c r="BW17" s="257">
        <v>0</v>
      </c>
      <c r="BX17" s="255">
        <v>0</v>
      </c>
      <c r="BY17" s="255">
        <v>0</v>
      </c>
      <c r="BZ17" s="256">
        <v>0</v>
      </c>
      <c r="CA17" s="257">
        <v>0</v>
      </c>
      <c r="CB17" s="255">
        <v>0</v>
      </c>
      <c r="CC17" s="255">
        <v>0</v>
      </c>
      <c r="CD17" s="258">
        <v>0</v>
      </c>
      <c r="CE17" s="183"/>
      <c r="CF17" s="254">
        <v>0</v>
      </c>
      <c r="CG17" s="255">
        <v>0</v>
      </c>
      <c r="CH17" s="255">
        <v>0</v>
      </c>
      <c r="CI17" s="258">
        <v>0</v>
      </c>
      <c r="CJ17" s="183"/>
      <c r="CK17" s="182">
        <v>7</v>
      </c>
      <c r="CL17" s="184" t="str">
        <f t="shared" si="6"/>
        <v>11:0:56,24</v>
      </c>
      <c r="CM17" s="185" t="str">
        <f t="shared" si="7"/>
        <v>11:6:2,50</v>
      </c>
      <c r="CN17" s="186" t="str">
        <f t="shared" si="8"/>
        <v>0:0:0,0</v>
      </c>
      <c r="CO17" s="183"/>
      <c r="CP17" s="184" t="str">
        <f t="shared" si="24"/>
        <v>11:40:3,15</v>
      </c>
      <c r="CQ17" s="185" t="str">
        <f t="shared" si="25"/>
        <v>11:46:2,7</v>
      </c>
      <c r="CR17" s="186" t="str">
        <f t="shared" si="26"/>
        <v>0:0:0,0</v>
      </c>
      <c r="CS17" s="183"/>
      <c r="CT17" s="184" t="str">
        <f t="shared" si="27"/>
        <v>13:22:17,97</v>
      </c>
      <c r="CU17" s="185" t="str">
        <f t="shared" si="28"/>
        <v>13:27:18,44</v>
      </c>
      <c r="CV17" s="186" t="str">
        <f t="shared" si="29"/>
        <v>0:0:0,0</v>
      </c>
      <c r="CW17" s="183"/>
      <c r="CX17" s="184" t="str">
        <f t="shared" si="30"/>
        <v>14:25:57,92</v>
      </c>
      <c r="CY17" s="185" t="str">
        <f t="shared" si="31"/>
        <v>14:31:42,66</v>
      </c>
      <c r="CZ17" s="186" t="str">
        <f t="shared" si="32"/>
        <v>0:0:0,0</v>
      </c>
      <c r="DA17" s="183"/>
      <c r="DB17" s="184" t="str">
        <f t="shared" si="33"/>
        <v>15:1:29,80</v>
      </c>
      <c r="DC17" s="185" t="str">
        <f t="shared" si="34"/>
        <v>15:6:31,75</v>
      </c>
      <c r="DD17" s="186" t="str">
        <f t="shared" si="35"/>
        <v>0:0:0,0</v>
      </c>
      <c r="DE17" s="183"/>
      <c r="DF17" s="184" t="str">
        <f t="shared" si="36"/>
        <v>0:0:0,0</v>
      </c>
      <c r="DG17" s="185" t="str">
        <f t="shared" si="37"/>
        <v>0:0:0,0</v>
      </c>
      <c r="DH17" s="186" t="str">
        <f t="shared" si="38"/>
        <v>0:0:0,0</v>
      </c>
      <c r="DI17" s="183"/>
      <c r="DJ17" s="187" t="str">
        <f t="shared" si="39"/>
        <v>0:0:0,0</v>
      </c>
    </row>
    <row r="18" spans="2:114">
      <c r="B18" s="274">
        <f>IF(ISBLANK($E18),"",VLOOKUP($E18,Teilnehmer!$B$4:$K$199,2,0))</f>
        <v>3</v>
      </c>
      <c r="C18" s="190">
        <f>IF(ISBLANK($E18),"",VLOOKUP($E18,Teilnehmer!$B$4:$K$199,3,0))</f>
        <v>11</v>
      </c>
      <c r="D18" s="181" t="str">
        <f>IF(ISBLANK($E18),"",VLOOKUP($E18,Teilnehmer!$B$4:$K$199,4,0))</f>
        <v>Wallner Jakob</v>
      </c>
      <c r="E18" s="182">
        <v>8</v>
      </c>
      <c r="F18" s="257">
        <v>11</v>
      </c>
      <c r="G18" s="255">
        <v>1</v>
      </c>
      <c r="H18" s="255">
        <v>56</v>
      </c>
      <c r="I18" s="258">
        <v>61</v>
      </c>
      <c r="J18" s="257">
        <v>11</v>
      </c>
      <c r="K18" s="255">
        <v>7</v>
      </c>
      <c r="L18" s="255">
        <v>44</v>
      </c>
      <c r="M18" s="258">
        <v>13</v>
      </c>
      <c r="N18" s="257">
        <v>0</v>
      </c>
      <c r="O18" s="255">
        <v>0</v>
      </c>
      <c r="P18" s="255">
        <v>0</v>
      </c>
      <c r="Q18" s="258">
        <v>0</v>
      </c>
      <c r="R18" s="183"/>
      <c r="S18" s="254">
        <v>11</v>
      </c>
      <c r="T18" s="255">
        <v>52</v>
      </c>
      <c r="U18" s="255">
        <v>59</v>
      </c>
      <c r="V18" s="258">
        <v>16</v>
      </c>
      <c r="W18" s="257">
        <v>11</v>
      </c>
      <c r="X18" s="255">
        <v>59</v>
      </c>
      <c r="Y18" s="255">
        <v>33</v>
      </c>
      <c r="Z18" s="256">
        <v>51</v>
      </c>
      <c r="AA18" s="257">
        <v>0</v>
      </c>
      <c r="AB18" s="255">
        <v>0</v>
      </c>
      <c r="AC18" s="255">
        <v>0</v>
      </c>
      <c r="AD18" s="258">
        <v>0</v>
      </c>
      <c r="AE18" s="183"/>
      <c r="AF18" s="254">
        <v>13</v>
      </c>
      <c r="AG18" s="255">
        <v>23</v>
      </c>
      <c r="AH18" s="255">
        <v>34</v>
      </c>
      <c r="AI18" s="256">
        <v>14</v>
      </c>
      <c r="AJ18" s="257">
        <v>13</v>
      </c>
      <c r="AK18" s="255">
        <v>29</v>
      </c>
      <c r="AL18" s="255">
        <v>11</v>
      </c>
      <c r="AM18" s="256">
        <v>89</v>
      </c>
      <c r="AN18" s="257">
        <v>0</v>
      </c>
      <c r="AO18" s="255">
        <v>0</v>
      </c>
      <c r="AP18" s="255">
        <v>0</v>
      </c>
      <c r="AQ18" s="258">
        <v>0</v>
      </c>
      <c r="AR18" s="183"/>
      <c r="AS18" s="254">
        <v>14</v>
      </c>
      <c r="AT18" s="255">
        <v>26</v>
      </c>
      <c r="AU18" s="255">
        <v>27</v>
      </c>
      <c r="AV18" s="256">
        <v>39</v>
      </c>
      <c r="AW18" s="257">
        <v>14</v>
      </c>
      <c r="AX18" s="255">
        <v>32</v>
      </c>
      <c r="AY18" s="255">
        <v>37</v>
      </c>
      <c r="AZ18" s="256">
        <v>56</v>
      </c>
      <c r="BA18" s="257">
        <v>0</v>
      </c>
      <c r="BB18" s="255">
        <v>0</v>
      </c>
      <c r="BC18" s="255">
        <v>0</v>
      </c>
      <c r="BD18" s="258">
        <v>0</v>
      </c>
      <c r="BE18" s="183"/>
      <c r="BF18" s="254">
        <v>15</v>
      </c>
      <c r="BG18" s="255">
        <v>3</v>
      </c>
      <c r="BH18" s="255">
        <v>59</v>
      </c>
      <c r="BI18" s="256">
        <v>24</v>
      </c>
      <c r="BJ18" s="257">
        <v>15</v>
      </c>
      <c r="BK18" s="255">
        <v>9</v>
      </c>
      <c r="BL18" s="255">
        <v>54</v>
      </c>
      <c r="BM18" s="256">
        <v>2</v>
      </c>
      <c r="BN18" s="257">
        <v>0</v>
      </c>
      <c r="BO18" s="255">
        <v>0</v>
      </c>
      <c r="BP18" s="255">
        <v>0</v>
      </c>
      <c r="BQ18" s="258">
        <v>0</v>
      </c>
      <c r="BR18" s="183"/>
      <c r="BS18" s="254">
        <v>0</v>
      </c>
      <c r="BT18" s="255">
        <v>0</v>
      </c>
      <c r="BU18" s="255">
        <v>0</v>
      </c>
      <c r="BV18" s="256">
        <v>0</v>
      </c>
      <c r="BW18" s="257">
        <v>0</v>
      </c>
      <c r="BX18" s="255">
        <v>0</v>
      </c>
      <c r="BY18" s="255">
        <v>0</v>
      </c>
      <c r="BZ18" s="256">
        <v>0</v>
      </c>
      <c r="CA18" s="257">
        <v>0</v>
      </c>
      <c r="CB18" s="255">
        <v>0</v>
      </c>
      <c r="CC18" s="255">
        <v>0</v>
      </c>
      <c r="CD18" s="258">
        <v>0</v>
      </c>
      <c r="CE18" s="183"/>
      <c r="CF18" s="254">
        <v>0</v>
      </c>
      <c r="CG18" s="255">
        <v>0</v>
      </c>
      <c r="CH18" s="255">
        <v>0</v>
      </c>
      <c r="CI18" s="258">
        <v>0</v>
      </c>
      <c r="CJ18" s="183"/>
      <c r="CK18" s="182">
        <v>8</v>
      </c>
      <c r="CL18" s="184" t="str">
        <f t="shared" si="6"/>
        <v>11:1:56,61</v>
      </c>
      <c r="CM18" s="185" t="str">
        <f t="shared" si="7"/>
        <v>11:7:44,13</v>
      </c>
      <c r="CN18" s="186" t="str">
        <f t="shared" si="8"/>
        <v>0:0:0,0</v>
      </c>
      <c r="CO18" s="183"/>
      <c r="CP18" s="184" t="str">
        <f t="shared" si="24"/>
        <v>11:52:59,16</v>
      </c>
      <c r="CQ18" s="185" t="str">
        <f t="shared" si="25"/>
        <v>11:59:33,51</v>
      </c>
      <c r="CR18" s="186" t="str">
        <f t="shared" si="26"/>
        <v>0:0:0,0</v>
      </c>
      <c r="CS18" s="183"/>
      <c r="CT18" s="184" t="str">
        <f t="shared" si="27"/>
        <v>13:23:34,14</v>
      </c>
      <c r="CU18" s="185" t="str">
        <f t="shared" si="28"/>
        <v>13:29:11,89</v>
      </c>
      <c r="CV18" s="186" t="str">
        <f t="shared" si="29"/>
        <v>0:0:0,0</v>
      </c>
      <c r="CW18" s="183"/>
      <c r="CX18" s="184" t="str">
        <f t="shared" si="30"/>
        <v>14:26:27,39</v>
      </c>
      <c r="CY18" s="185" t="str">
        <f t="shared" si="31"/>
        <v>14:32:37,56</v>
      </c>
      <c r="CZ18" s="186" t="str">
        <f t="shared" si="32"/>
        <v>0:0:0,0</v>
      </c>
      <c r="DA18" s="183"/>
      <c r="DB18" s="184" t="str">
        <f t="shared" si="33"/>
        <v>15:3:59,24</v>
      </c>
      <c r="DC18" s="185" t="str">
        <f t="shared" si="34"/>
        <v>15:9:54,2</v>
      </c>
      <c r="DD18" s="186" t="str">
        <f t="shared" si="35"/>
        <v>0:0:0,0</v>
      </c>
      <c r="DE18" s="183"/>
      <c r="DF18" s="184" t="str">
        <f t="shared" si="36"/>
        <v>0:0:0,0</v>
      </c>
      <c r="DG18" s="185" t="str">
        <f t="shared" si="37"/>
        <v>0:0:0,0</v>
      </c>
      <c r="DH18" s="186" t="str">
        <f t="shared" si="38"/>
        <v>0:0:0,0</v>
      </c>
      <c r="DI18" s="183"/>
      <c r="DJ18" s="187" t="str">
        <f t="shared" si="39"/>
        <v>0:0:0,0</v>
      </c>
    </row>
    <row r="19" spans="2:114">
      <c r="B19" s="274">
        <f>IF(ISBLANK($E19),"",VLOOKUP($E19,Teilnehmer!$B$4:$K$199,2,0))</f>
        <v>3</v>
      </c>
      <c r="C19" s="190">
        <f>IF(ISBLANK($E19),"",VLOOKUP($E19,Teilnehmer!$B$4:$K$199,3,0))</f>
        <v>11</v>
      </c>
      <c r="D19" s="181" t="str">
        <f>IF(ISBLANK($E19),"",VLOOKUP($E19,Teilnehmer!$B$4:$K$199,4,0))</f>
        <v>Stütz Ralf</v>
      </c>
      <c r="E19" s="182">
        <v>9</v>
      </c>
      <c r="F19" s="218"/>
      <c r="G19" s="218"/>
      <c r="H19" s="218"/>
      <c r="I19" s="218"/>
      <c r="J19" s="218"/>
      <c r="K19" s="218"/>
      <c r="L19" s="218"/>
      <c r="M19" s="218"/>
      <c r="N19" s="257">
        <v>0</v>
      </c>
      <c r="O19" s="255">
        <v>0</v>
      </c>
      <c r="P19" s="255">
        <v>0</v>
      </c>
      <c r="Q19" s="258">
        <v>0</v>
      </c>
      <c r="R19" s="183"/>
      <c r="S19" s="218"/>
      <c r="T19" s="218"/>
      <c r="U19" s="218"/>
      <c r="V19" s="218"/>
      <c r="W19" s="218"/>
      <c r="X19" s="218"/>
      <c r="Y19" s="218"/>
      <c r="Z19" s="218"/>
      <c r="AA19" s="257">
        <v>0</v>
      </c>
      <c r="AB19" s="255">
        <v>0</v>
      </c>
      <c r="AC19" s="255">
        <v>0</v>
      </c>
      <c r="AD19" s="258">
        <v>0</v>
      </c>
      <c r="AE19" s="183"/>
      <c r="AF19" s="218"/>
      <c r="AG19" s="218"/>
      <c r="AH19" s="218"/>
      <c r="AI19" s="218"/>
      <c r="AJ19" s="218"/>
      <c r="AK19" s="218"/>
      <c r="AL19" s="218"/>
      <c r="AM19" s="218"/>
      <c r="AN19" s="257">
        <v>0</v>
      </c>
      <c r="AO19" s="255">
        <v>0</v>
      </c>
      <c r="AP19" s="255">
        <v>0</v>
      </c>
      <c r="AQ19" s="258">
        <v>0</v>
      </c>
      <c r="AR19" s="183"/>
      <c r="AS19" s="218"/>
      <c r="AT19" s="218"/>
      <c r="AU19" s="218"/>
      <c r="AV19" s="218"/>
      <c r="AW19" s="218"/>
      <c r="AX19" s="218"/>
      <c r="AY19" s="218"/>
      <c r="AZ19" s="218"/>
      <c r="BA19" s="257">
        <v>0</v>
      </c>
      <c r="BB19" s="255">
        <v>0</v>
      </c>
      <c r="BC19" s="255">
        <v>0</v>
      </c>
      <c r="BD19" s="258">
        <v>0</v>
      </c>
      <c r="BE19" s="183"/>
      <c r="BF19" s="218"/>
      <c r="BG19" s="218"/>
      <c r="BH19" s="218"/>
      <c r="BI19" s="218"/>
      <c r="BJ19" s="218"/>
      <c r="BK19" s="218"/>
      <c r="BL19" s="218"/>
      <c r="BM19" s="218"/>
      <c r="BN19" s="257">
        <v>0</v>
      </c>
      <c r="BO19" s="255">
        <v>0</v>
      </c>
      <c r="BP19" s="255">
        <v>0</v>
      </c>
      <c r="BQ19" s="258">
        <v>0</v>
      </c>
      <c r="BR19" s="183"/>
      <c r="BS19" s="254">
        <v>0</v>
      </c>
      <c r="BT19" s="255">
        <v>0</v>
      </c>
      <c r="BU19" s="255">
        <v>0</v>
      </c>
      <c r="BV19" s="256">
        <v>0</v>
      </c>
      <c r="BW19" s="257">
        <v>0</v>
      </c>
      <c r="BX19" s="255">
        <v>0</v>
      </c>
      <c r="BY19" s="255">
        <v>0</v>
      </c>
      <c r="BZ19" s="256">
        <v>0</v>
      </c>
      <c r="CA19" s="257">
        <v>0</v>
      </c>
      <c r="CB19" s="255">
        <v>0</v>
      </c>
      <c r="CC19" s="255">
        <v>0</v>
      </c>
      <c r="CD19" s="258">
        <v>0</v>
      </c>
      <c r="CE19" s="183"/>
      <c r="CF19" s="254">
        <v>0</v>
      </c>
      <c r="CG19" s="255">
        <v>0</v>
      </c>
      <c r="CH19" s="255">
        <v>0</v>
      </c>
      <c r="CI19" s="258">
        <v>0</v>
      </c>
      <c r="CJ19" s="183"/>
      <c r="CK19" s="182">
        <v>9</v>
      </c>
      <c r="CL19" s="184" t="str">
        <f t="shared" si="6"/>
        <v>::,</v>
      </c>
      <c r="CM19" s="185" t="str">
        <f t="shared" si="7"/>
        <v>::,</v>
      </c>
      <c r="CN19" s="186" t="str">
        <f t="shared" si="8"/>
        <v>0:0:0,0</v>
      </c>
      <c r="CO19" s="183"/>
      <c r="CP19" s="184" t="str">
        <f t="shared" si="24"/>
        <v>::,</v>
      </c>
      <c r="CQ19" s="185" t="str">
        <f t="shared" si="25"/>
        <v>::,</v>
      </c>
      <c r="CR19" s="186" t="str">
        <f t="shared" si="26"/>
        <v>0:0:0,0</v>
      </c>
      <c r="CS19" s="183"/>
      <c r="CT19" s="184" t="str">
        <f t="shared" si="27"/>
        <v>::,</v>
      </c>
      <c r="CU19" s="185" t="str">
        <f t="shared" si="28"/>
        <v>::,</v>
      </c>
      <c r="CV19" s="186" t="str">
        <f t="shared" si="29"/>
        <v>0:0:0,0</v>
      </c>
      <c r="CW19" s="183"/>
      <c r="CX19" s="184" t="str">
        <f t="shared" si="30"/>
        <v>::,</v>
      </c>
      <c r="CY19" s="185" t="str">
        <f t="shared" si="31"/>
        <v>::,</v>
      </c>
      <c r="CZ19" s="186" t="str">
        <f t="shared" si="32"/>
        <v>0:0:0,0</v>
      </c>
      <c r="DA19" s="183"/>
      <c r="DB19" s="184" t="str">
        <f t="shared" si="33"/>
        <v>::,</v>
      </c>
      <c r="DC19" s="185" t="str">
        <f t="shared" si="34"/>
        <v>::,</v>
      </c>
      <c r="DD19" s="186" t="str">
        <f t="shared" si="35"/>
        <v>0:0:0,0</v>
      </c>
      <c r="DE19" s="183"/>
      <c r="DF19" s="184" t="str">
        <f t="shared" si="36"/>
        <v>0:0:0,0</v>
      </c>
      <c r="DG19" s="185" t="str">
        <f t="shared" si="37"/>
        <v>0:0:0,0</v>
      </c>
      <c r="DH19" s="186" t="str">
        <f t="shared" si="38"/>
        <v>0:0:0,0</v>
      </c>
      <c r="DI19" s="183"/>
      <c r="DJ19" s="187" t="str">
        <f t="shared" si="39"/>
        <v>0:0:0,0</v>
      </c>
    </row>
    <row r="20" spans="2:114">
      <c r="B20" s="274">
        <f>IF(ISBLANK($E20),"",VLOOKUP($E20,Teilnehmer!$B$4:$K$199,2,0))</f>
        <v>3</v>
      </c>
      <c r="C20" s="190">
        <f>IF(ISBLANK($E20),"",VLOOKUP($E20,Teilnehmer!$B$4:$K$199,3,0))</f>
        <v>11</v>
      </c>
      <c r="D20" s="181" t="str">
        <f>IF(ISBLANK($E20),"",VLOOKUP($E20,Teilnehmer!$B$4:$K$199,4,0))</f>
        <v>Schweiger Andreas</v>
      </c>
      <c r="E20" s="182">
        <v>10</v>
      </c>
      <c r="F20" s="257">
        <v>11</v>
      </c>
      <c r="G20" s="255">
        <v>3</v>
      </c>
      <c r="H20" s="255">
        <v>17</v>
      </c>
      <c r="I20" s="258">
        <v>62</v>
      </c>
      <c r="J20" s="257">
        <v>11</v>
      </c>
      <c r="K20" s="255">
        <v>8</v>
      </c>
      <c r="L20" s="255">
        <v>13</v>
      </c>
      <c r="M20" s="258">
        <v>89</v>
      </c>
      <c r="N20" s="257">
        <v>0</v>
      </c>
      <c r="O20" s="255">
        <v>0</v>
      </c>
      <c r="P20" s="255">
        <v>0</v>
      </c>
      <c r="Q20" s="258">
        <v>0</v>
      </c>
      <c r="R20" s="183"/>
      <c r="S20" s="254">
        <v>11</v>
      </c>
      <c r="T20" s="255">
        <v>53</v>
      </c>
      <c r="U20" s="255">
        <v>28</v>
      </c>
      <c r="V20" s="258">
        <v>98</v>
      </c>
      <c r="W20" s="257">
        <v>11</v>
      </c>
      <c r="X20" s="255">
        <v>59</v>
      </c>
      <c r="Y20" s="255">
        <v>10</v>
      </c>
      <c r="Z20" s="256">
        <v>33</v>
      </c>
      <c r="AA20" s="257">
        <v>0</v>
      </c>
      <c r="AB20" s="255">
        <v>0</v>
      </c>
      <c r="AC20" s="255">
        <v>0</v>
      </c>
      <c r="AD20" s="258">
        <v>0</v>
      </c>
      <c r="AE20" s="183"/>
      <c r="AF20" s="254">
        <v>13</v>
      </c>
      <c r="AG20" s="255">
        <v>24</v>
      </c>
      <c r="AH20" s="255">
        <v>31</v>
      </c>
      <c r="AI20" s="256">
        <v>10</v>
      </c>
      <c r="AJ20" s="257">
        <v>13</v>
      </c>
      <c r="AK20" s="255">
        <v>29</v>
      </c>
      <c r="AL20" s="255">
        <v>25</v>
      </c>
      <c r="AM20" s="256">
        <v>40</v>
      </c>
      <c r="AN20" s="257">
        <v>0</v>
      </c>
      <c r="AO20" s="255">
        <v>0</v>
      </c>
      <c r="AP20" s="255">
        <v>0</v>
      </c>
      <c r="AQ20" s="258">
        <v>0</v>
      </c>
      <c r="AR20" s="183"/>
      <c r="AS20" s="254">
        <v>14</v>
      </c>
      <c r="AT20" s="255">
        <v>30</v>
      </c>
      <c r="AU20" s="255">
        <v>28</v>
      </c>
      <c r="AV20" s="256">
        <v>48</v>
      </c>
      <c r="AW20" s="257">
        <v>14</v>
      </c>
      <c r="AX20" s="255">
        <v>36</v>
      </c>
      <c r="AY20" s="255">
        <v>4</v>
      </c>
      <c r="AZ20" s="256">
        <v>79</v>
      </c>
      <c r="BA20" s="257">
        <v>0</v>
      </c>
      <c r="BB20" s="255">
        <v>0</v>
      </c>
      <c r="BC20" s="255">
        <v>0</v>
      </c>
      <c r="BD20" s="258">
        <v>0</v>
      </c>
      <c r="BE20" s="183"/>
      <c r="BF20" s="254">
        <v>15</v>
      </c>
      <c r="BG20" s="255">
        <v>4</v>
      </c>
      <c r="BH20" s="255">
        <v>53</v>
      </c>
      <c r="BI20" s="256">
        <v>68</v>
      </c>
      <c r="BJ20" s="257">
        <v>15</v>
      </c>
      <c r="BK20" s="255">
        <v>9</v>
      </c>
      <c r="BL20" s="255">
        <v>47</v>
      </c>
      <c r="BM20" s="256">
        <v>64</v>
      </c>
      <c r="BN20" s="257">
        <v>0</v>
      </c>
      <c r="BO20" s="255">
        <v>0</v>
      </c>
      <c r="BP20" s="255">
        <v>30</v>
      </c>
      <c r="BQ20" s="258">
        <v>0</v>
      </c>
      <c r="BR20" s="183"/>
      <c r="BS20" s="254">
        <v>0</v>
      </c>
      <c r="BT20" s="255">
        <v>0</v>
      </c>
      <c r="BU20" s="255">
        <v>0</v>
      </c>
      <c r="BV20" s="256">
        <v>0</v>
      </c>
      <c r="BW20" s="257">
        <v>0</v>
      </c>
      <c r="BX20" s="255">
        <v>0</v>
      </c>
      <c r="BY20" s="255">
        <v>0</v>
      </c>
      <c r="BZ20" s="256">
        <v>0</v>
      </c>
      <c r="CA20" s="257">
        <v>0</v>
      </c>
      <c r="CB20" s="255">
        <v>0</v>
      </c>
      <c r="CC20" s="255">
        <v>0</v>
      </c>
      <c r="CD20" s="258">
        <v>0</v>
      </c>
      <c r="CE20" s="183"/>
      <c r="CF20" s="254">
        <v>0</v>
      </c>
      <c r="CG20" s="255">
        <v>0</v>
      </c>
      <c r="CH20" s="255">
        <v>0</v>
      </c>
      <c r="CI20" s="258">
        <v>0</v>
      </c>
      <c r="CJ20" s="183"/>
      <c r="CK20" s="182">
        <v>10</v>
      </c>
      <c r="CL20" s="184" t="str">
        <f t="shared" si="6"/>
        <v>11:3:17,62</v>
      </c>
      <c r="CM20" s="185" t="str">
        <f t="shared" si="7"/>
        <v>11:8:13,89</v>
      </c>
      <c r="CN20" s="186" t="str">
        <f t="shared" si="8"/>
        <v>0:0:0,0</v>
      </c>
      <c r="CO20" s="183"/>
      <c r="CP20" s="184" t="str">
        <f t="shared" si="24"/>
        <v>11:53:28,98</v>
      </c>
      <c r="CQ20" s="185" t="str">
        <f t="shared" si="25"/>
        <v>11:59:10,33</v>
      </c>
      <c r="CR20" s="186" t="str">
        <f t="shared" si="26"/>
        <v>0:0:0,0</v>
      </c>
      <c r="CS20" s="183"/>
      <c r="CT20" s="184" t="str">
        <f t="shared" si="27"/>
        <v>13:24:31,10</v>
      </c>
      <c r="CU20" s="185" t="str">
        <f t="shared" si="28"/>
        <v>13:29:25,40</v>
      </c>
      <c r="CV20" s="186" t="str">
        <f t="shared" si="29"/>
        <v>0:0:0,0</v>
      </c>
      <c r="CW20" s="183"/>
      <c r="CX20" s="184" t="str">
        <f t="shared" si="30"/>
        <v>14:30:28,48</v>
      </c>
      <c r="CY20" s="185" t="str">
        <f t="shared" si="31"/>
        <v>14:36:4,79</v>
      </c>
      <c r="CZ20" s="186" t="str">
        <f t="shared" si="32"/>
        <v>0:0:0,0</v>
      </c>
      <c r="DA20" s="183"/>
      <c r="DB20" s="184" t="str">
        <f t="shared" si="33"/>
        <v>15:4:53,68</v>
      </c>
      <c r="DC20" s="185" t="str">
        <f t="shared" si="34"/>
        <v>15:9:47,64</v>
      </c>
      <c r="DD20" s="186" t="str">
        <f t="shared" si="35"/>
        <v>0:0:30,0</v>
      </c>
      <c r="DE20" s="183"/>
      <c r="DF20" s="184" t="str">
        <f t="shared" si="36"/>
        <v>0:0:0,0</v>
      </c>
      <c r="DG20" s="185" t="str">
        <f t="shared" si="37"/>
        <v>0:0:0,0</v>
      </c>
      <c r="DH20" s="186" t="str">
        <f t="shared" si="38"/>
        <v>0:0:0,0</v>
      </c>
      <c r="DI20" s="183"/>
      <c r="DJ20" s="187" t="str">
        <f t="shared" si="39"/>
        <v>0:0:0,0</v>
      </c>
    </row>
    <row r="21" spans="2:114">
      <c r="B21" s="274">
        <f>IF(ISBLANK($E21),"",VLOOKUP($E21,Teilnehmer!$B$4:$K$199,2,0))</f>
        <v>2</v>
      </c>
      <c r="C21" s="190">
        <f>IF(ISBLANK($E21),"",VLOOKUP($E21,Teilnehmer!$B$4:$K$199,3,0))</f>
        <v>10</v>
      </c>
      <c r="D21" s="181" t="str">
        <f>IF(ISBLANK($E21),"",VLOOKUP($E21,Teilnehmer!$B$4:$K$199,4,0))</f>
        <v>Wundsam Sebastian</v>
      </c>
      <c r="E21" s="182">
        <v>11</v>
      </c>
      <c r="F21" s="257">
        <v>11</v>
      </c>
      <c r="G21" s="255">
        <v>5</v>
      </c>
      <c r="H21" s="255">
        <v>23</v>
      </c>
      <c r="I21" s="258">
        <v>62</v>
      </c>
      <c r="J21" s="257">
        <v>11</v>
      </c>
      <c r="K21" s="255">
        <v>11</v>
      </c>
      <c r="L21" s="255">
        <v>3</v>
      </c>
      <c r="M21" s="258">
        <v>68</v>
      </c>
      <c r="N21" s="257">
        <v>0</v>
      </c>
      <c r="O21" s="255">
        <v>0</v>
      </c>
      <c r="P21" s="255">
        <v>0</v>
      </c>
      <c r="Q21" s="258">
        <v>0</v>
      </c>
      <c r="R21" s="183"/>
      <c r="S21" s="254">
        <v>11</v>
      </c>
      <c r="T21" s="255">
        <v>53</v>
      </c>
      <c r="U21" s="255">
        <v>58</v>
      </c>
      <c r="V21" s="258">
        <v>85</v>
      </c>
      <c r="W21" s="257">
        <v>12</v>
      </c>
      <c r="X21" s="255">
        <v>0</v>
      </c>
      <c r="Y21" s="255">
        <v>9</v>
      </c>
      <c r="Z21" s="256">
        <v>16</v>
      </c>
      <c r="AA21" s="257">
        <v>0</v>
      </c>
      <c r="AB21" s="255">
        <v>0</v>
      </c>
      <c r="AC21" s="255">
        <v>0</v>
      </c>
      <c r="AD21" s="258">
        <v>0</v>
      </c>
      <c r="AE21" s="183"/>
      <c r="AF21" s="254">
        <v>13</v>
      </c>
      <c r="AG21" s="255">
        <v>25</v>
      </c>
      <c r="AH21" s="255">
        <v>58</v>
      </c>
      <c r="AI21" s="256">
        <v>77</v>
      </c>
      <c r="AJ21" s="257">
        <v>13</v>
      </c>
      <c r="AK21" s="255">
        <v>31</v>
      </c>
      <c r="AL21" s="255">
        <v>33</v>
      </c>
      <c r="AM21" s="256">
        <v>68</v>
      </c>
      <c r="AN21" s="257">
        <v>0</v>
      </c>
      <c r="AO21" s="255">
        <v>0</v>
      </c>
      <c r="AP21" s="255">
        <v>0</v>
      </c>
      <c r="AQ21" s="258">
        <v>0</v>
      </c>
      <c r="AR21" s="183"/>
      <c r="AS21" s="254">
        <v>14</v>
      </c>
      <c r="AT21" s="255">
        <v>30</v>
      </c>
      <c r="AU21" s="255">
        <v>44</v>
      </c>
      <c r="AV21" s="256">
        <v>17</v>
      </c>
      <c r="AW21" s="218"/>
      <c r="AX21" s="218"/>
      <c r="AY21" s="218"/>
      <c r="AZ21" s="218"/>
      <c r="BA21" s="257">
        <v>0</v>
      </c>
      <c r="BB21" s="255">
        <v>0</v>
      </c>
      <c r="BC21" s="255">
        <v>0</v>
      </c>
      <c r="BD21" s="258">
        <v>0</v>
      </c>
      <c r="BE21" s="183"/>
      <c r="BF21" s="218"/>
      <c r="BG21" s="218"/>
      <c r="BH21" s="218"/>
      <c r="BI21" s="218"/>
      <c r="BJ21" s="218"/>
      <c r="BK21" s="218"/>
      <c r="BL21" s="218"/>
      <c r="BM21" s="218"/>
      <c r="BN21" s="257">
        <v>0</v>
      </c>
      <c r="BO21" s="255">
        <v>0</v>
      </c>
      <c r="BP21" s="255">
        <v>0</v>
      </c>
      <c r="BQ21" s="258">
        <v>0</v>
      </c>
      <c r="BR21" s="183"/>
      <c r="BS21" s="254">
        <v>0</v>
      </c>
      <c r="BT21" s="255">
        <v>0</v>
      </c>
      <c r="BU21" s="255">
        <v>0</v>
      </c>
      <c r="BV21" s="256">
        <v>0</v>
      </c>
      <c r="BW21" s="257">
        <v>0</v>
      </c>
      <c r="BX21" s="255">
        <v>0</v>
      </c>
      <c r="BY21" s="255">
        <v>0</v>
      </c>
      <c r="BZ21" s="256">
        <v>0</v>
      </c>
      <c r="CA21" s="257">
        <v>0</v>
      </c>
      <c r="CB21" s="255">
        <v>0</v>
      </c>
      <c r="CC21" s="255">
        <v>0</v>
      </c>
      <c r="CD21" s="258">
        <v>0</v>
      </c>
      <c r="CE21" s="183"/>
      <c r="CF21" s="254">
        <v>0</v>
      </c>
      <c r="CG21" s="255">
        <v>0</v>
      </c>
      <c r="CH21" s="255">
        <v>0</v>
      </c>
      <c r="CI21" s="258">
        <v>0</v>
      </c>
      <c r="CJ21" s="183"/>
      <c r="CK21" s="182">
        <v>11</v>
      </c>
      <c r="CL21" s="184" t="str">
        <f t="shared" si="6"/>
        <v>11:5:23,62</v>
      </c>
      <c r="CM21" s="185" t="str">
        <f t="shared" si="7"/>
        <v>11:11:3,68</v>
      </c>
      <c r="CN21" s="186" t="str">
        <f t="shared" si="8"/>
        <v>0:0:0,0</v>
      </c>
      <c r="CO21" s="183"/>
      <c r="CP21" s="184" t="str">
        <f t="shared" si="24"/>
        <v>11:53:58,85</v>
      </c>
      <c r="CQ21" s="185" t="str">
        <f t="shared" si="25"/>
        <v>12:0:9,16</v>
      </c>
      <c r="CR21" s="186" t="str">
        <f t="shared" si="26"/>
        <v>0:0:0,0</v>
      </c>
      <c r="CS21" s="183"/>
      <c r="CT21" s="184" t="str">
        <f t="shared" si="27"/>
        <v>13:25:58,77</v>
      </c>
      <c r="CU21" s="185" t="str">
        <f t="shared" si="28"/>
        <v>13:31:33,68</v>
      </c>
      <c r="CV21" s="186" t="str">
        <f t="shared" si="29"/>
        <v>0:0:0,0</v>
      </c>
      <c r="CW21" s="183"/>
      <c r="CX21" s="184" t="str">
        <f t="shared" si="30"/>
        <v>14:30:44,17</v>
      </c>
      <c r="CY21" s="185" t="str">
        <f t="shared" si="31"/>
        <v>::,</v>
      </c>
      <c r="CZ21" s="186" t="str">
        <f t="shared" si="32"/>
        <v>0:0:0,0</v>
      </c>
      <c r="DA21" s="183"/>
      <c r="DB21" s="184" t="str">
        <f t="shared" si="33"/>
        <v>::,</v>
      </c>
      <c r="DC21" s="185" t="str">
        <f t="shared" si="34"/>
        <v>::,</v>
      </c>
      <c r="DD21" s="186" t="str">
        <f t="shared" si="35"/>
        <v>0:0:0,0</v>
      </c>
      <c r="DE21" s="183"/>
      <c r="DF21" s="184" t="str">
        <f t="shared" si="36"/>
        <v>0:0:0,0</v>
      </c>
      <c r="DG21" s="185" t="str">
        <f t="shared" si="37"/>
        <v>0:0:0,0</v>
      </c>
      <c r="DH21" s="186" t="str">
        <f t="shared" si="38"/>
        <v>0:0:0,0</v>
      </c>
      <c r="DI21" s="183"/>
      <c r="DJ21" s="187" t="str">
        <f t="shared" si="39"/>
        <v>0:0:0,0</v>
      </c>
    </row>
    <row r="22" spans="2:114">
      <c r="B22" s="274">
        <f>IF(ISBLANK($E22),"",VLOOKUP($E22,Teilnehmer!$B$4:$K$199,2,0))</f>
        <v>2</v>
      </c>
      <c r="C22" s="190">
        <f>IF(ISBLANK($E22),"",VLOOKUP($E22,Teilnehmer!$B$4:$K$199,3,0))</f>
        <v>10</v>
      </c>
      <c r="D22" s="181" t="str">
        <f>IF(ISBLANK($E22),"",VLOOKUP($E22,Teilnehmer!$B$4:$K$199,4,0))</f>
        <v>Ederer Marcus</v>
      </c>
      <c r="E22" s="182">
        <v>12</v>
      </c>
      <c r="F22" s="257">
        <v>11</v>
      </c>
      <c r="G22" s="255">
        <v>6</v>
      </c>
      <c r="H22" s="255">
        <v>4</v>
      </c>
      <c r="I22" s="258">
        <v>78</v>
      </c>
      <c r="J22" s="257">
        <v>11</v>
      </c>
      <c r="K22" s="255">
        <v>10</v>
      </c>
      <c r="L22" s="255">
        <v>57</v>
      </c>
      <c r="M22" s="258">
        <v>60</v>
      </c>
      <c r="N22" s="257">
        <v>0</v>
      </c>
      <c r="O22" s="255">
        <v>0</v>
      </c>
      <c r="P22" s="255">
        <v>0</v>
      </c>
      <c r="Q22" s="258">
        <v>0</v>
      </c>
      <c r="R22" s="183"/>
      <c r="S22" s="254">
        <v>11</v>
      </c>
      <c r="T22" s="255">
        <v>59</v>
      </c>
      <c r="U22" s="255">
        <v>38</v>
      </c>
      <c r="V22" s="258">
        <v>55</v>
      </c>
      <c r="W22" s="257">
        <v>12</v>
      </c>
      <c r="X22" s="255">
        <v>5</v>
      </c>
      <c r="Y22" s="255">
        <v>36</v>
      </c>
      <c r="Z22" s="256">
        <v>35</v>
      </c>
      <c r="AA22" s="257">
        <v>0</v>
      </c>
      <c r="AB22" s="255">
        <v>0</v>
      </c>
      <c r="AC22" s="255">
        <v>0</v>
      </c>
      <c r="AD22" s="258">
        <v>0</v>
      </c>
      <c r="AE22" s="183"/>
      <c r="AF22" s="254">
        <v>13</v>
      </c>
      <c r="AG22" s="255">
        <v>26</v>
      </c>
      <c r="AH22" s="255">
        <v>44</v>
      </c>
      <c r="AI22" s="256">
        <v>40</v>
      </c>
      <c r="AJ22" s="257">
        <v>13</v>
      </c>
      <c r="AK22" s="255">
        <v>31</v>
      </c>
      <c r="AL22" s="255">
        <v>37</v>
      </c>
      <c r="AM22" s="256">
        <v>16</v>
      </c>
      <c r="AN22" s="257">
        <v>0</v>
      </c>
      <c r="AO22" s="255">
        <v>0</v>
      </c>
      <c r="AP22" s="255">
        <v>0</v>
      </c>
      <c r="AQ22" s="258">
        <v>0</v>
      </c>
      <c r="AR22" s="183"/>
      <c r="AS22" s="254">
        <v>14</v>
      </c>
      <c r="AT22" s="255">
        <v>31</v>
      </c>
      <c r="AU22" s="255">
        <v>1</v>
      </c>
      <c r="AV22" s="256">
        <v>69</v>
      </c>
      <c r="AW22" s="257">
        <v>14</v>
      </c>
      <c r="AX22" s="255">
        <v>36</v>
      </c>
      <c r="AY22" s="255">
        <v>56</v>
      </c>
      <c r="AZ22" s="256">
        <v>23</v>
      </c>
      <c r="BA22" s="257">
        <v>0</v>
      </c>
      <c r="BB22" s="255">
        <v>0</v>
      </c>
      <c r="BC22" s="255">
        <v>0</v>
      </c>
      <c r="BD22" s="258">
        <v>0</v>
      </c>
      <c r="BE22" s="183"/>
      <c r="BF22" s="254">
        <v>15</v>
      </c>
      <c r="BG22" s="255">
        <v>5</v>
      </c>
      <c r="BH22" s="255">
        <v>47</v>
      </c>
      <c r="BI22" s="256">
        <v>76</v>
      </c>
      <c r="BJ22" s="257">
        <v>15</v>
      </c>
      <c r="BK22" s="255">
        <v>10</v>
      </c>
      <c r="BL22" s="255">
        <v>36</v>
      </c>
      <c r="BM22" s="256">
        <v>65</v>
      </c>
      <c r="BN22" s="257">
        <v>0</v>
      </c>
      <c r="BO22" s="255">
        <v>0</v>
      </c>
      <c r="BP22" s="255">
        <v>0</v>
      </c>
      <c r="BQ22" s="258">
        <v>0</v>
      </c>
      <c r="BR22" s="183"/>
      <c r="BS22" s="254">
        <v>0</v>
      </c>
      <c r="BT22" s="255">
        <v>0</v>
      </c>
      <c r="BU22" s="255">
        <v>0</v>
      </c>
      <c r="BV22" s="256">
        <v>0</v>
      </c>
      <c r="BW22" s="257">
        <v>0</v>
      </c>
      <c r="BX22" s="255">
        <v>0</v>
      </c>
      <c r="BY22" s="255">
        <v>0</v>
      </c>
      <c r="BZ22" s="256">
        <v>0</v>
      </c>
      <c r="CA22" s="257">
        <v>0</v>
      </c>
      <c r="CB22" s="255">
        <v>0</v>
      </c>
      <c r="CC22" s="255">
        <v>0</v>
      </c>
      <c r="CD22" s="258">
        <v>0</v>
      </c>
      <c r="CE22" s="183"/>
      <c r="CF22" s="254">
        <v>0</v>
      </c>
      <c r="CG22" s="255">
        <v>0</v>
      </c>
      <c r="CH22" s="255">
        <v>0</v>
      </c>
      <c r="CI22" s="258">
        <v>0</v>
      </c>
      <c r="CJ22" s="183"/>
      <c r="CK22" s="182">
        <v>12</v>
      </c>
      <c r="CL22" s="184" t="str">
        <f t="shared" si="6"/>
        <v>11:6:4,78</v>
      </c>
      <c r="CM22" s="185" t="str">
        <f t="shared" si="7"/>
        <v>11:10:57,60</v>
      </c>
      <c r="CN22" s="186" t="str">
        <f t="shared" si="8"/>
        <v>0:0:0,0</v>
      </c>
      <c r="CO22" s="183"/>
      <c r="CP22" s="184" t="str">
        <f t="shared" si="24"/>
        <v>11:59:38,55</v>
      </c>
      <c r="CQ22" s="185" t="str">
        <f t="shared" si="25"/>
        <v>12:5:36,35</v>
      </c>
      <c r="CR22" s="186" t="str">
        <f t="shared" si="26"/>
        <v>0:0:0,0</v>
      </c>
      <c r="CS22" s="183"/>
      <c r="CT22" s="184" t="str">
        <f t="shared" si="27"/>
        <v>13:26:44,40</v>
      </c>
      <c r="CU22" s="185" t="str">
        <f t="shared" si="28"/>
        <v>13:31:37,16</v>
      </c>
      <c r="CV22" s="186" t="str">
        <f t="shared" si="29"/>
        <v>0:0:0,0</v>
      </c>
      <c r="CW22" s="183"/>
      <c r="CX22" s="184" t="str">
        <f t="shared" si="30"/>
        <v>14:31:1,69</v>
      </c>
      <c r="CY22" s="185" t="str">
        <f t="shared" si="31"/>
        <v>14:36:56,23</v>
      </c>
      <c r="CZ22" s="186" t="str">
        <f t="shared" si="32"/>
        <v>0:0:0,0</v>
      </c>
      <c r="DA22" s="183"/>
      <c r="DB22" s="184" t="str">
        <f t="shared" si="33"/>
        <v>15:5:47,76</v>
      </c>
      <c r="DC22" s="185" t="str">
        <f t="shared" si="34"/>
        <v>15:10:36,65</v>
      </c>
      <c r="DD22" s="186" t="str">
        <f t="shared" si="35"/>
        <v>0:0:0,0</v>
      </c>
      <c r="DE22" s="183"/>
      <c r="DF22" s="184" t="str">
        <f t="shared" si="36"/>
        <v>0:0:0,0</v>
      </c>
      <c r="DG22" s="185" t="str">
        <f t="shared" si="37"/>
        <v>0:0:0,0</v>
      </c>
      <c r="DH22" s="186" t="str">
        <f t="shared" si="38"/>
        <v>0:0:0,0</v>
      </c>
      <c r="DI22" s="183"/>
      <c r="DJ22" s="187" t="str">
        <f t="shared" si="39"/>
        <v>0:0:0,0</v>
      </c>
    </row>
    <row r="23" spans="2:114">
      <c r="B23" s="274">
        <f>IF(ISBLANK($E23),"",VLOOKUP($E23,Teilnehmer!$B$4:$K$199,2,0))</f>
        <v>2</v>
      </c>
      <c r="C23" s="190">
        <f>IF(ISBLANK($E23),"",VLOOKUP($E23,Teilnehmer!$B$4:$K$199,3,0))</f>
        <v>10</v>
      </c>
      <c r="D23" s="181" t="str">
        <f>IF(ISBLANK($E23),"",VLOOKUP($E23,Teilnehmer!$B$4:$K$199,4,0))</f>
        <v>Köhler Fritz</v>
      </c>
      <c r="E23" s="182">
        <v>13</v>
      </c>
      <c r="F23" s="257">
        <v>11</v>
      </c>
      <c r="G23" s="255">
        <v>8</v>
      </c>
      <c r="H23" s="255">
        <v>18</v>
      </c>
      <c r="I23" s="258">
        <v>48</v>
      </c>
      <c r="J23" s="257">
        <v>11</v>
      </c>
      <c r="K23" s="255">
        <v>13</v>
      </c>
      <c r="L23" s="255">
        <v>15</v>
      </c>
      <c r="M23" s="258">
        <v>50</v>
      </c>
      <c r="N23" s="257">
        <v>0</v>
      </c>
      <c r="O23" s="255">
        <v>0</v>
      </c>
      <c r="P23" s="255">
        <v>0</v>
      </c>
      <c r="Q23" s="258">
        <v>0</v>
      </c>
      <c r="R23" s="183"/>
      <c r="S23" s="254">
        <v>12</v>
      </c>
      <c r="T23" s="255">
        <v>0</v>
      </c>
      <c r="U23" s="255">
        <v>15</v>
      </c>
      <c r="V23" s="258">
        <v>19</v>
      </c>
      <c r="W23" s="257">
        <v>12</v>
      </c>
      <c r="X23" s="255">
        <v>6</v>
      </c>
      <c r="Y23" s="255">
        <v>30</v>
      </c>
      <c r="Z23" s="256">
        <v>99</v>
      </c>
      <c r="AA23" s="257">
        <v>0</v>
      </c>
      <c r="AB23" s="255">
        <v>0</v>
      </c>
      <c r="AC23" s="255">
        <v>0</v>
      </c>
      <c r="AD23" s="258">
        <v>0</v>
      </c>
      <c r="AE23" s="183"/>
      <c r="AF23" s="254">
        <v>13</v>
      </c>
      <c r="AG23" s="255">
        <v>27</v>
      </c>
      <c r="AH23" s="255">
        <v>14</v>
      </c>
      <c r="AI23" s="256">
        <v>13</v>
      </c>
      <c r="AJ23" s="257">
        <v>13</v>
      </c>
      <c r="AK23" s="255">
        <v>32</v>
      </c>
      <c r="AL23" s="255">
        <v>8</v>
      </c>
      <c r="AM23" s="256">
        <v>70</v>
      </c>
      <c r="AN23" s="257">
        <v>0</v>
      </c>
      <c r="AO23" s="255">
        <v>0</v>
      </c>
      <c r="AP23" s="255">
        <v>0</v>
      </c>
      <c r="AQ23" s="258">
        <v>0</v>
      </c>
      <c r="AR23" s="183"/>
      <c r="AS23" s="254">
        <v>14</v>
      </c>
      <c r="AT23" s="255">
        <v>31</v>
      </c>
      <c r="AU23" s="255">
        <v>19</v>
      </c>
      <c r="AV23" s="256">
        <v>38</v>
      </c>
      <c r="AW23" s="257">
        <v>14</v>
      </c>
      <c r="AX23" s="255">
        <v>37</v>
      </c>
      <c r="AY23" s="255">
        <v>13</v>
      </c>
      <c r="AZ23" s="256">
        <v>7</v>
      </c>
      <c r="BA23" s="257">
        <v>0</v>
      </c>
      <c r="BB23" s="255">
        <v>0</v>
      </c>
      <c r="BC23" s="255">
        <v>0</v>
      </c>
      <c r="BD23" s="258">
        <v>0</v>
      </c>
      <c r="BE23" s="183"/>
      <c r="BF23" s="254">
        <v>15</v>
      </c>
      <c r="BG23" s="255">
        <v>7</v>
      </c>
      <c r="BH23" s="255">
        <v>11</v>
      </c>
      <c r="BI23" s="256">
        <v>70</v>
      </c>
      <c r="BJ23" s="257">
        <v>15</v>
      </c>
      <c r="BK23" s="255">
        <v>12</v>
      </c>
      <c r="BL23" s="255">
        <v>1</v>
      </c>
      <c r="BM23" s="256">
        <v>49</v>
      </c>
      <c r="BN23" s="257">
        <v>0</v>
      </c>
      <c r="BO23" s="255">
        <v>0</v>
      </c>
      <c r="BP23" s="255">
        <v>30</v>
      </c>
      <c r="BQ23" s="258">
        <v>0</v>
      </c>
      <c r="BR23" s="183"/>
      <c r="BS23" s="254">
        <v>0</v>
      </c>
      <c r="BT23" s="255">
        <v>0</v>
      </c>
      <c r="BU23" s="255">
        <v>0</v>
      </c>
      <c r="BV23" s="256">
        <v>0</v>
      </c>
      <c r="BW23" s="257">
        <v>0</v>
      </c>
      <c r="BX23" s="255">
        <v>0</v>
      </c>
      <c r="BY23" s="255">
        <v>0</v>
      </c>
      <c r="BZ23" s="256">
        <v>0</v>
      </c>
      <c r="CA23" s="257">
        <v>0</v>
      </c>
      <c r="CB23" s="255">
        <v>0</v>
      </c>
      <c r="CC23" s="255">
        <v>0</v>
      </c>
      <c r="CD23" s="258">
        <v>0</v>
      </c>
      <c r="CE23" s="183"/>
      <c r="CF23" s="254">
        <v>0</v>
      </c>
      <c r="CG23" s="255">
        <v>0</v>
      </c>
      <c r="CH23" s="255">
        <v>0</v>
      </c>
      <c r="CI23" s="258">
        <v>0</v>
      </c>
      <c r="CJ23" s="183"/>
      <c r="CK23" s="182">
        <v>13</v>
      </c>
      <c r="CL23" s="184" t="str">
        <f t="shared" si="6"/>
        <v>11:8:18,48</v>
      </c>
      <c r="CM23" s="185" t="str">
        <f t="shared" si="7"/>
        <v>11:13:15,50</v>
      </c>
      <c r="CN23" s="186" t="str">
        <f t="shared" si="8"/>
        <v>0:0:0,0</v>
      </c>
      <c r="CO23" s="183"/>
      <c r="CP23" s="184" t="str">
        <f t="shared" si="24"/>
        <v>12:0:15,19</v>
      </c>
      <c r="CQ23" s="185" t="str">
        <f t="shared" si="25"/>
        <v>12:6:30,99</v>
      </c>
      <c r="CR23" s="186" t="str">
        <f t="shared" si="26"/>
        <v>0:0:0,0</v>
      </c>
      <c r="CS23" s="183"/>
      <c r="CT23" s="184" t="str">
        <f t="shared" si="27"/>
        <v>13:27:14,13</v>
      </c>
      <c r="CU23" s="185" t="str">
        <f t="shared" si="28"/>
        <v>13:32:8,70</v>
      </c>
      <c r="CV23" s="186" t="str">
        <f t="shared" si="29"/>
        <v>0:0:0,0</v>
      </c>
      <c r="CW23" s="183"/>
      <c r="CX23" s="184" t="str">
        <f t="shared" si="30"/>
        <v>14:31:19,38</v>
      </c>
      <c r="CY23" s="185" t="str">
        <f t="shared" si="31"/>
        <v>14:37:13,7</v>
      </c>
      <c r="CZ23" s="186" t="str">
        <f t="shared" si="32"/>
        <v>0:0:0,0</v>
      </c>
      <c r="DA23" s="183"/>
      <c r="DB23" s="184" t="str">
        <f t="shared" si="33"/>
        <v>15:7:11,70</v>
      </c>
      <c r="DC23" s="185" t="str">
        <f t="shared" si="34"/>
        <v>15:12:1,49</v>
      </c>
      <c r="DD23" s="186" t="str">
        <f t="shared" si="35"/>
        <v>0:0:30,0</v>
      </c>
      <c r="DE23" s="183"/>
      <c r="DF23" s="184" t="str">
        <f t="shared" si="36"/>
        <v>0:0:0,0</v>
      </c>
      <c r="DG23" s="185" t="str">
        <f t="shared" si="37"/>
        <v>0:0:0,0</v>
      </c>
      <c r="DH23" s="186" t="str">
        <f t="shared" si="38"/>
        <v>0:0:0,0</v>
      </c>
      <c r="DI23" s="183"/>
      <c r="DJ23" s="187" t="str">
        <f t="shared" si="39"/>
        <v>0:0:0,0</v>
      </c>
    </row>
    <row r="24" spans="2:114">
      <c r="B24" s="274">
        <f>IF(ISBLANK($E25),"",VLOOKUP($E25,Teilnehmer!$B$4:$K$199,2,0))</f>
        <v>2</v>
      </c>
      <c r="C24" s="190">
        <f>IF(ISBLANK($E25),"",VLOOKUP($E25,Teilnehmer!$B$4:$K$199,3,0))</f>
        <v>10</v>
      </c>
      <c r="D24" s="181" t="str">
        <f>IF(ISBLANK($E24),"",VLOOKUP($E24,Teilnehmer!$B$4:$K$199,4,0))</f>
        <v>Hillreiner Stefan</v>
      </c>
      <c r="E24" s="182">
        <v>60</v>
      </c>
      <c r="F24" s="257">
        <v>11</v>
      </c>
      <c r="G24" s="255">
        <v>8</v>
      </c>
      <c r="H24" s="5">
        <v>18</v>
      </c>
      <c r="I24" s="258">
        <v>82</v>
      </c>
      <c r="J24" s="257">
        <v>11</v>
      </c>
      <c r="K24" s="255">
        <v>13</v>
      </c>
      <c r="L24" s="255">
        <v>51</v>
      </c>
      <c r="M24" s="258">
        <v>71</v>
      </c>
      <c r="N24" s="257">
        <v>0</v>
      </c>
      <c r="O24" s="255">
        <v>0</v>
      </c>
      <c r="P24" s="255">
        <v>0</v>
      </c>
      <c r="Q24" s="258">
        <v>0</v>
      </c>
      <c r="R24" s="183"/>
      <c r="S24" s="254">
        <v>12</v>
      </c>
      <c r="T24" s="255">
        <v>0</v>
      </c>
      <c r="U24" s="255">
        <v>44</v>
      </c>
      <c r="V24" s="258">
        <v>44</v>
      </c>
      <c r="W24" s="257">
        <v>12</v>
      </c>
      <c r="X24" s="255">
        <v>6</v>
      </c>
      <c r="Y24" s="255">
        <v>58</v>
      </c>
      <c r="Z24" s="256">
        <v>21</v>
      </c>
      <c r="AA24" s="257">
        <v>0</v>
      </c>
      <c r="AB24" s="255">
        <v>0</v>
      </c>
      <c r="AC24" s="255">
        <v>0</v>
      </c>
      <c r="AD24" s="258">
        <v>0</v>
      </c>
      <c r="AE24" s="183"/>
      <c r="AF24" s="254">
        <v>13</v>
      </c>
      <c r="AG24" s="255">
        <v>28</v>
      </c>
      <c r="AH24" s="255">
        <v>50</v>
      </c>
      <c r="AI24" s="256">
        <v>48</v>
      </c>
      <c r="AJ24" s="257">
        <v>13</v>
      </c>
      <c r="AK24" s="255">
        <v>33</v>
      </c>
      <c r="AL24" s="255">
        <v>54</v>
      </c>
      <c r="AM24" s="256">
        <v>86</v>
      </c>
      <c r="AN24" s="257">
        <v>0</v>
      </c>
      <c r="AO24" s="255">
        <v>0</v>
      </c>
      <c r="AP24" s="255">
        <v>0</v>
      </c>
      <c r="AQ24" s="258">
        <v>0</v>
      </c>
      <c r="AR24" s="183"/>
      <c r="AS24" s="254">
        <v>14</v>
      </c>
      <c r="AT24" s="255">
        <v>31</v>
      </c>
      <c r="AU24" s="255">
        <v>37</v>
      </c>
      <c r="AV24" s="256">
        <v>50</v>
      </c>
      <c r="AW24" s="257">
        <v>14</v>
      </c>
      <c r="AX24" s="255">
        <v>37</v>
      </c>
      <c r="AY24" s="255">
        <v>42</v>
      </c>
      <c r="AZ24" s="256">
        <v>49</v>
      </c>
      <c r="BA24" s="257">
        <v>0</v>
      </c>
      <c r="BB24" s="255">
        <v>0</v>
      </c>
      <c r="BC24" s="255">
        <v>0</v>
      </c>
      <c r="BD24" s="258">
        <v>0</v>
      </c>
      <c r="BE24" s="183"/>
      <c r="BF24" s="254">
        <v>15</v>
      </c>
      <c r="BG24" s="255">
        <v>7</v>
      </c>
      <c r="BH24" s="255">
        <v>52</v>
      </c>
      <c r="BI24" s="256">
        <v>61</v>
      </c>
      <c r="BJ24" s="257">
        <v>15</v>
      </c>
      <c r="BK24" s="255">
        <v>12</v>
      </c>
      <c r="BL24" s="255">
        <v>51</v>
      </c>
      <c r="BM24" s="256">
        <v>79</v>
      </c>
      <c r="BN24" s="257">
        <v>0</v>
      </c>
      <c r="BO24" s="255">
        <v>0</v>
      </c>
      <c r="BP24" s="255">
        <v>0</v>
      </c>
      <c r="BQ24" s="258">
        <v>0</v>
      </c>
      <c r="BR24" s="183"/>
      <c r="BS24" s="254">
        <v>0</v>
      </c>
      <c r="BT24" s="255">
        <v>0</v>
      </c>
      <c r="BU24" s="255">
        <v>0</v>
      </c>
      <c r="BV24" s="256">
        <v>0</v>
      </c>
      <c r="BW24" s="257">
        <v>0</v>
      </c>
      <c r="BX24" s="255">
        <v>0</v>
      </c>
      <c r="BY24" s="255">
        <v>0</v>
      </c>
      <c r="BZ24" s="256">
        <v>0</v>
      </c>
      <c r="CA24" s="257">
        <v>0</v>
      </c>
      <c r="CB24" s="255">
        <v>0</v>
      </c>
      <c r="CC24" s="255">
        <v>0</v>
      </c>
      <c r="CD24" s="258">
        <v>0</v>
      </c>
      <c r="CE24" s="183"/>
      <c r="CF24" s="254">
        <v>0</v>
      </c>
      <c r="CG24" s="255">
        <v>0</v>
      </c>
      <c r="CH24" s="255">
        <v>0</v>
      </c>
      <c r="CI24" s="258">
        <v>0</v>
      </c>
      <c r="CJ24" s="183"/>
      <c r="CK24" s="182">
        <v>60</v>
      </c>
      <c r="CL24" s="184" t="str">
        <f t="shared" si="6"/>
        <v>11:8:18,82</v>
      </c>
      <c r="CM24" s="185" t="str">
        <f t="shared" si="7"/>
        <v>11:13:51,71</v>
      </c>
      <c r="CN24" s="186" t="str">
        <f>IF(ISBLANK($E25),"",N24&amp;":"&amp;O24&amp;":"&amp;P24&amp;","&amp;Q24)</f>
        <v>0:0:0,0</v>
      </c>
      <c r="CO24" s="183"/>
      <c r="CP24" s="184" t="str">
        <f t="shared" si="24"/>
        <v>12:0:44,44</v>
      </c>
      <c r="CQ24" s="185" t="str">
        <f t="shared" si="25"/>
        <v>12:6:58,21</v>
      </c>
      <c r="CR24" s="186" t="str">
        <f t="shared" si="26"/>
        <v>0:0:0,0</v>
      </c>
      <c r="CS24" s="183"/>
      <c r="CT24" s="184" t="str">
        <f t="shared" si="27"/>
        <v>13:28:50,48</v>
      </c>
      <c r="CU24" s="185" t="str">
        <f t="shared" si="28"/>
        <v>13:33:54,86</v>
      </c>
      <c r="CV24" s="186" t="str">
        <f t="shared" si="29"/>
        <v>0:0:0,0</v>
      </c>
      <c r="CW24" s="183"/>
      <c r="CX24" s="184" t="str">
        <f t="shared" si="30"/>
        <v>14:31:37,50</v>
      </c>
      <c r="CY24" s="185" t="str">
        <f t="shared" si="31"/>
        <v>14:37:42,49</v>
      </c>
      <c r="CZ24" s="186" t="str">
        <f t="shared" si="32"/>
        <v>0:0:0,0</v>
      </c>
      <c r="DA24" s="183"/>
      <c r="DB24" s="184" t="str">
        <f t="shared" si="33"/>
        <v>15:7:52,61</v>
      </c>
      <c r="DC24" s="185" t="str">
        <f t="shared" si="34"/>
        <v>15:12:51,79</v>
      </c>
      <c r="DD24" s="186" t="str">
        <f t="shared" si="35"/>
        <v>0:0:0,0</v>
      </c>
      <c r="DE24" s="183"/>
      <c r="DF24" s="184" t="str">
        <f t="shared" si="36"/>
        <v>0:0:0,0</v>
      </c>
      <c r="DG24" s="185" t="str">
        <f t="shared" si="37"/>
        <v>0:0:0,0</v>
      </c>
      <c r="DH24" s="186" t="str">
        <f t="shared" si="38"/>
        <v>0:0:0,0</v>
      </c>
      <c r="DI24" s="183"/>
      <c r="DJ24" s="187" t="str">
        <f t="shared" si="39"/>
        <v>0:0:0,0</v>
      </c>
    </row>
    <row r="25" spans="2:114">
      <c r="B25" s="274">
        <f>IF(ISBLANK($E26),"",VLOOKUP($E26,Teilnehmer!$B$4:$K$199,2,0))</f>
        <v>2</v>
      </c>
      <c r="C25" s="190">
        <f>IF(ISBLANK($E26),"",VLOOKUP($E26,Teilnehmer!$B$4:$K$199,3,0))</f>
        <v>10</v>
      </c>
      <c r="D25" s="181" t="str">
        <f>IF(ISBLANK($E25),"",VLOOKUP($E25,Teilnehmer!$B$4:$K$199,4,0))</f>
        <v>Oest Marc</v>
      </c>
      <c r="E25" s="182">
        <v>15</v>
      </c>
      <c r="F25" s="257">
        <v>11</v>
      </c>
      <c r="G25" s="255">
        <v>9</v>
      </c>
      <c r="H25" s="255">
        <v>44</v>
      </c>
      <c r="I25" s="258">
        <v>99</v>
      </c>
      <c r="J25" s="257">
        <v>11</v>
      </c>
      <c r="K25" s="255">
        <v>15</v>
      </c>
      <c r="L25" s="255">
        <v>8</v>
      </c>
      <c r="M25" s="258">
        <v>22</v>
      </c>
      <c r="N25" s="257">
        <v>0</v>
      </c>
      <c r="O25" s="255">
        <v>0</v>
      </c>
      <c r="P25" s="255">
        <v>0</v>
      </c>
      <c r="Q25" s="258">
        <v>0</v>
      </c>
      <c r="R25" s="183"/>
      <c r="S25" s="306">
        <v>12</v>
      </c>
      <c r="T25" s="307">
        <v>6</v>
      </c>
      <c r="U25" s="307">
        <v>0</v>
      </c>
      <c r="V25" s="308">
        <v>75</v>
      </c>
      <c r="W25" s="309">
        <v>12</v>
      </c>
      <c r="X25" s="307">
        <v>14</v>
      </c>
      <c r="Y25" s="307">
        <v>30</v>
      </c>
      <c r="Z25" s="310">
        <v>34</v>
      </c>
      <c r="AA25" s="257">
        <v>0</v>
      </c>
      <c r="AB25" s="255">
        <v>0</v>
      </c>
      <c r="AC25" s="255">
        <v>0</v>
      </c>
      <c r="AD25" s="258">
        <v>0</v>
      </c>
      <c r="AE25" s="183"/>
      <c r="AF25" s="254">
        <v>13</v>
      </c>
      <c r="AG25" s="255">
        <v>31</v>
      </c>
      <c r="AH25" s="255">
        <v>15</v>
      </c>
      <c r="AI25" s="256">
        <v>4</v>
      </c>
      <c r="AJ25" s="257">
        <v>13</v>
      </c>
      <c r="AK25" s="255">
        <v>37</v>
      </c>
      <c r="AL25" s="255">
        <v>3</v>
      </c>
      <c r="AM25" s="256">
        <v>52</v>
      </c>
      <c r="AN25" s="257">
        <v>0</v>
      </c>
      <c r="AO25" s="255">
        <v>0</v>
      </c>
      <c r="AP25" s="255">
        <v>0</v>
      </c>
      <c r="AQ25" s="258">
        <v>0</v>
      </c>
      <c r="AR25" s="183"/>
      <c r="AS25" s="254">
        <v>15</v>
      </c>
      <c r="AT25" s="255">
        <v>14</v>
      </c>
      <c r="AU25" s="255">
        <v>27</v>
      </c>
      <c r="AV25" s="256">
        <v>98</v>
      </c>
      <c r="AW25" s="257">
        <v>15</v>
      </c>
      <c r="AX25" s="255">
        <v>20</v>
      </c>
      <c r="AY25" s="255">
        <v>42</v>
      </c>
      <c r="AZ25" s="256">
        <v>56</v>
      </c>
      <c r="BA25" s="257">
        <v>0</v>
      </c>
      <c r="BB25" s="255">
        <v>0</v>
      </c>
      <c r="BC25" s="255">
        <v>0</v>
      </c>
      <c r="BD25" s="258">
        <v>0</v>
      </c>
      <c r="BE25" s="183"/>
      <c r="BF25" s="254">
        <v>15</v>
      </c>
      <c r="BG25" s="255">
        <v>46</v>
      </c>
      <c r="BH25" s="255">
        <v>42</v>
      </c>
      <c r="BI25" s="256">
        <v>37</v>
      </c>
      <c r="BJ25" s="257">
        <v>15</v>
      </c>
      <c r="BK25" s="255">
        <v>52</v>
      </c>
      <c r="BL25" s="255">
        <v>19</v>
      </c>
      <c r="BM25" s="256">
        <v>32</v>
      </c>
      <c r="BN25" s="257">
        <v>0</v>
      </c>
      <c r="BO25" s="255">
        <v>0</v>
      </c>
      <c r="BP25" s="255">
        <v>0</v>
      </c>
      <c r="BQ25" s="258">
        <v>0</v>
      </c>
      <c r="BR25" s="183"/>
      <c r="BS25" s="254">
        <v>0</v>
      </c>
      <c r="BT25" s="255">
        <v>0</v>
      </c>
      <c r="BU25" s="255">
        <v>0</v>
      </c>
      <c r="BV25" s="256">
        <v>0</v>
      </c>
      <c r="BW25" s="257">
        <v>0</v>
      </c>
      <c r="BX25" s="255">
        <v>0</v>
      </c>
      <c r="BY25" s="255">
        <v>0</v>
      </c>
      <c r="BZ25" s="256">
        <v>0</v>
      </c>
      <c r="CA25" s="257">
        <v>0</v>
      </c>
      <c r="CB25" s="255">
        <v>0</v>
      </c>
      <c r="CC25" s="255">
        <v>0</v>
      </c>
      <c r="CD25" s="258">
        <v>0</v>
      </c>
      <c r="CE25" s="183"/>
      <c r="CF25" s="254">
        <v>0</v>
      </c>
      <c r="CG25" s="255">
        <v>0</v>
      </c>
      <c r="CH25" s="255">
        <v>0</v>
      </c>
      <c r="CI25" s="258">
        <v>0</v>
      </c>
      <c r="CJ25" s="183"/>
      <c r="CK25" s="182">
        <v>15</v>
      </c>
      <c r="CL25" s="184" t="str">
        <f t="shared" si="6"/>
        <v>11:9:44,99</v>
      </c>
      <c r="CM25" s="185" t="str">
        <f t="shared" si="7"/>
        <v>11:15:8,22</v>
      </c>
      <c r="CN25" s="186" t="str">
        <f>IF(ISBLANK($E26),"",N25&amp;":"&amp;O25&amp;":"&amp;P25&amp;","&amp;Q25)</f>
        <v>0:0:0,0</v>
      </c>
      <c r="CO25" s="183"/>
      <c r="CP25" s="184" t="str">
        <f t="shared" si="24"/>
        <v>12:6:0,75</v>
      </c>
      <c r="CQ25" s="185" t="str">
        <f t="shared" si="25"/>
        <v>12:14:30,34</v>
      </c>
      <c r="CR25" s="186" t="str">
        <f t="shared" si="26"/>
        <v>0:0:0,0</v>
      </c>
      <c r="CS25" s="183"/>
      <c r="CT25" s="184" t="str">
        <f t="shared" si="27"/>
        <v>13:31:15,4</v>
      </c>
      <c r="CU25" s="185" t="str">
        <f t="shared" si="28"/>
        <v>13:37:3,52</v>
      </c>
      <c r="CV25" s="186" t="str">
        <f t="shared" si="29"/>
        <v>0:0:0,0</v>
      </c>
      <c r="CW25" s="183"/>
      <c r="CX25" s="184" t="str">
        <f t="shared" si="30"/>
        <v>15:14:27,98</v>
      </c>
      <c r="CY25" s="185" t="str">
        <f t="shared" si="31"/>
        <v>15:20:42,56</v>
      </c>
      <c r="CZ25" s="186" t="str">
        <f t="shared" si="32"/>
        <v>0:0:0,0</v>
      </c>
      <c r="DA25" s="183"/>
      <c r="DB25" s="184" t="str">
        <f t="shared" si="33"/>
        <v>15:46:42,37</v>
      </c>
      <c r="DC25" s="185" t="str">
        <f t="shared" si="34"/>
        <v>15:52:19,32</v>
      </c>
      <c r="DD25" s="186" t="str">
        <f t="shared" si="35"/>
        <v>0:0:0,0</v>
      </c>
      <c r="DE25" s="183"/>
      <c r="DF25" s="184" t="str">
        <f t="shared" si="36"/>
        <v>0:0:0,0</v>
      </c>
      <c r="DG25" s="185" t="str">
        <f t="shared" si="37"/>
        <v>0:0:0,0</v>
      </c>
      <c r="DH25" s="186" t="str">
        <f t="shared" si="38"/>
        <v>0:0:0,0</v>
      </c>
      <c r="DI25" s="183"/>
      <c r="DJ25" s="187" t="str">
        <f t="shared" si="39"/>
        <v>0:0:0,0</v>
      </c>
    </row>
    <row r="26" spans="2:114">
      <c r="B26" s="274">
        <f>IF(ISBLANK($E27),"",VLOOKUP($E27,Teilnehmer!$B$4:$K$199,2,0))</f>
        <v>2</v>
      </c>
      <c r="C26" s="190">
        <f>IF(ISBLANK($E27),"",VLOOKUP($E27,Teilnehmer!$B$4:$K$199,3,0))</f>
        <v>10</v>
      </c>
      <c r="D26" s="181" t="str">
        <f>IF(ISBLANK($E26),"",VLOOKUP($E26,Teilnehmer!$B$4:$K$199,4,0))</f>
        <v>Schad Carsten</v>
      </c>
      <c r="E26" s="182">
        <v>16</v>
      </c>
      <c r="F26" s="257">
        <v>11</v>
      </c>
      <c r="G26" s="255">
        <v>10</v>
      </c>
      <c r="H26" s="255">
        <v>25</v>
      </c>
      <c r="I26" s="258">
        <v>73</v>
      </c>
      <c r="J26" s="257">
        <v>11</v>
      </c>
      <c r="K26" s="255">
        <v>16</v>
      </c>
      <c r="L26" s="255">
        <v>21</v>
      </c>
      <c r="M26" s="258">
        <v>75</v>
      </c>
      <c r="N26" s="257">
        <v>0</v>
      </c>
      <c r="O26" s="255">
        <v>0</v>
      </c>
      <c r="P26" s="255">
        <v>0</v>
      </c>
      <c r="Q26" s="258">
        <v>0</v>
      </c>
      <c r="R26" s="183"/>
      <c r="S26" s="306">
        <v>12</v>
      </c>
      <c r="T26" s="307">
        <v>6</v>
      </c>
      <c r="U26" s="307">
        <v>24</v>
      </c>
      <c r="V26" s="308">
        <v>98</v>
      </c>
      <c r="W26" s="309">
        <v>12</v>
      </c>
      <c r="X26" s="307">
        <v>13</v>
      </c>
      <c r="Y26" s="307">
        <v>45</v>
      </c>
      <c r="Z26" s="310">
        <v>11</v>
      </c>
      <c r="AA26" s="257">
        <v>0</v>
      </c>
      <c r="AB26" s="255">
        <v>0</v>
      </c>
      <c r="AC26" s="255">
        <v>0</v>
      </c>
      <c r="AD26" s="258">
        <v>0</v>
      </c>
      <c r="AE26" s="183"/>
      <c r="AF26" s="254">
        <v>13</v>
      </c>
      <c r="AG26" s="255">
        <v>31</v>
      </c>
      <c r="AH26" s="255">
        <v>37</v>
      </c>
      <c r="AI26" s="256">
        <v>87</v>
      </c>
      <c r="AJ26" s="257">
        <v>13</v>
      </c>
      <c r="AK26" s="255">
        <v>37</v>
      </c>
      <c r="AL26" s="255">
        <v>18</v>
      </c>
      <c r="AM26" s="256">
        <v>78</v>
      </c>
      <c r="AN26" s="257">
        <v>0</v>
      </c>
      <c r="AO26" s="255">
        <v>0</v>
      </c>
      <c r="AP26" s="255">
        <v>0</v>
      </c>
      <c r="AQ26" s="258">
        <v>0</v>
      </c>
      <c r="AR26" s="183"/>
      <c r="AS26" s="254">
        <v>14</v>
      </c>
      <c r="AT26" s="255">
        <v>45</v>
      </c>
      <c r="AU26" s="255">
        <v>38</v>
      </c>
      <c r="AV26" s="256">
        <v>62</v>
      </c>
      <c r="AW26" s="257">
        <v>14</v>
      </c>
      <c r="AX26" s="255">
        <v>52</v>
      </c>
      <c r="AY26" s="255">
        <v>24</v>
      </c>
      <c r="AZ26" s="256">
        <v>61</v>
      </c>
      <c r="BA26" s="257">
        <v>0</v>
      </c>
      <c r="BB26" s="255">
        <v>0</v>
      </c>
      <c r="BC26" s="255">
        <v>0</v>
      </c>
      <c r="BD26" s="258">
        <v>0</v>
      </c>
      <c r="BE26" s="183"/>
      <c r="BF26" s="254">
        <v>15</v>
      </c>
      <c r="BG26" s="255">
        <v>17</v>
      </c>
      <c r="BH26" s="255">
        <v>32</v>
      </c>
      <c r="BI26" s="256">
        <v>72</v>
      </c>
      <c r="BJ26" s="257">
        <v>15</v>
      </c>
      <c r="BK26" s="255">
        <v>23</v>
      </c>
      <c r="BL26" s="255">
        <v>18</v>
      </c>
      <c r="BM26" s="256">
        <v>43</v>
      </c>
      <c r="BN26" s="257">
        <v>0</v>
      </c>
      <c r="BO26" s="255">
        <v>0</v>
      </c>
      <c r="BP26" s="255">
        <v>0</v>
      </c>
      <c r="BQ26" s="258">
        <v>0</v>
      </c>
      <c r="BR26" s="183"/>
      <c r="BS26" s="254">
        <v>0</v>
      </c>
      <c r="BT26" s="255">
        <v>0</v>
      </c>
      <c r="BU26" s="255">
        <v>0</v>
      </c>
      <c r="BV26" s="256">
        <v>0</v>
      </c>
      <c r="BW26" s="257">
        <v>0</v>
      </c>
      <c r="BX26" s="255">
        <v>0</v>
      </c>
      <c r="BY26" s="255">
        <v>0</v>
      </c>
      <c r="BZ26" s="256">
        <v>0</v>
      </c>
      <c r="CA26" s="257">
        <v>0</v>
      </c>
      <c r="CB26" s="255">
        <v>0</v>
      </c>
      <c r="CC26" s="255">
        <v>0</v>
      </c>
      <c r="CD26" s="258">
        <v>0</v>
      </c>
      <c r="CE26" s="183"/>
      <c r="CF26" s="254">
        <v>0</v>
      </c>
      <c r="CG26" s="255">
        <v>0</v>
      </c>
      <c r="CH26" s="255">
        <v>0</v>
      </c>
      <c r="CI26" s="258">
        <v>0</v>
      </c>
      <c r="CJ26" s="183"/>
      <c r="CK26" s="182">
        <v>16</v>
      </c>
      <c r="CL26" s="184" t="str">
        <f t="shared" si="6"/>
        <v>11:10:25,73</v>
      </c>
      <c r="CM26" s="185" t="str">
        <f t="shared" si="7"/>
        <v>11:16:21,75</v>
      </c>
      <c r="CN26" s="186" t="str">
        <f>IF(ISBLANK($E27),"",N26&amp;":"&amp;O26&amp;":"&amp;P26&amp;","&amp;Q26)</f>
        <v>0:0:0,0</v>
      </c>
      <c r="CO26" s="183"/>
      <c r="CP26" s="184" t="str">
        <f t="shared" si="24"/>
        <v>12:6:24,98</v>
      </c>
      <c r="CQ26" s="185" t="str">
        <f t="shared" si="25"/>
        <v>12:13:45,11</v>
      </c>
      <c r="CR26" s="186" t="str">
        <f t="shared" si="26"/>
        <v>0:0:0,0</v>
      </c>
      <c r="CS26" s="183"/>
      <c r="CT26" s="184" t="str">
        <f t="shared" si="27"/>
        <v>13:31:37,87</v>
      </c>
      <c r="CU26" s="185" t="str">
        <f t="shared" si="28"/>
        <v>13:37:18,78</v>
      </c>
      <c r="CV26" s="186" t="str">
        <f t="shared" si="29"/>
        <v>0:0:0,0</v>
      </c>
      <c r="CW26" s="183"/>
      <c r="CX26" s="184" t="str">
        <f t="shared" si="30"/>
        <v>14:45:38,62</v>
      </c>
      <c r="CY26" s="185" t="str">
        <f t="shared" si="31"/>
        <v>14:52:24,61</v>
      </c>
      <c r="CZ26" s="186" t="str">
        <f t="shared" si="32"/>
        <v>0:0:0,0</v>
      </c>
      <c r="DA26" s="183"/>
      <c r="DB26" s="184" t="str">
        <f t="shared" si="33"/>
        <v>15:17:32,72</v>
      </c>
      <c r="DC26" s="185" t="str">
        <f t="shared" si="34"/>
        <v>15:23:18,43</v>
      </c>
      <c r="DD26" s="186" t="str">
        <f t="shared" si="35"/>
        <v>0:0:0,0</v>
      </c>
      <c r="DE26" s="183"/>
      <c r="DF26" s="184" t="str">
        <f t="shared" si="36"/>
        <v>0:0:0,0</v>
      </c>
      <c r="DG26" s="185" t="str">
        <f t="shared" si="37"/>
        <v>0:0:0,0</v>
      </c>
      <c r="DH26" s="186" t="str">
        <f t="shared" si="38"/>
        <v>0:0:0,0</v>
      </c>
      <c r="DI26" s="183"/>
      <c r="DJ26" s="187" t="str">
        <f t="shared" si="39"/>
        <v>0:0:0,0</v>
      </c>
    </row>
    <row r="27" spans="2:114">
      <c r="B27" s="274">
        <f>IF(ISBLANK($E28),"",VLOOKUP($E28,Teilnehmer!$B$4:$K$199,2,0))</f>
        <v>2</v>
      </c>
      <c r="C27" s="190">
        <f>IF(ISBLANK($E28),"",VLOOKUP($E28,Teilnehmer!$B$4:$K$199,3,0))</f>
        <v>10</v>
      </c>
      <c r="D27" s="181" t="str">
        <f>IF(ISBLANK($E27),"",VLOOKUP($E27,Teilnehmer!$B$4:$K$199,4,0))</f>
        <v>Müller Werner</v>
      </c>
      <c r="E27" s="182">
        <v>17</v>
      </c>
      <c r="F27" s="257">
        <v>11</v>
      </c>
      <c r="G27" s="255">
        <v>11</v>
      </c>
      <c r="H27" s="255">
        <v>15</v>
      </c>
      <c r="I27" s="258">
        <v>51</v>
      </c>
      <c r="J27" s="257">
        <v>11</v>
      </c>
      <c r="K27" s="255">
        <v>21</v>
      </c>
      <c r="L27" s="255">
        <v>38</v>
      </c>
      <c r="M27" s="258">
        <v>34</v>
      </c>
      <c r="N27" s="257">
        <v>0</v>
      </c>
      <c r="O27" s="255">
        <v>0</v>
      </c>
      <c r="P27" s="255">
        <v>0</v>
      </c>
      <c r="Q27" s="258">
        <v>0</v>
      </c>
      <c r="R27" s="183"/>
      <c r="S27" s="254">
        <v>12</v>
      </c>
      <c r="T27" s="255">
        <v>20</v>
      </c>
      <c r="U27" s="255">
        <v>56</v>
      </c>
      <c r="V27" s="258">
        <v>98</v>
      </c>
      <c r="W27" s="257">
        <v>12</v>
      </c>
      <c r="X27" s="255">
        <v>26</v>
      </c>
      <c r="Y27" s="255">
        <v>54</v>
      </c>
      <c r="Z27" s="256">
        <v>84</v>
      </c>
      <c r="AA27" s="257">
        <v>0</v>
      </c>
      <c r="AB27" s="255">
        <v>0</v>
      </c>
      <c r="AC27" s="255">
        <v>0</v>
      </c>
      <c r="AD27" s="258">
        <v>0</v>
      </c>
      <c r="AE27" s="183"/>
      <c r="AF27" s="254">
        <v>13</v>
      </c>
      <c r="AG27" s="255">
        <v>32</v>
      </c>
      <c r="AH27" s="255">
        <v>7</v>
      </c>
      <c r="AI27" s="256">
        <v>87</v>
      </c>
      <c r="AJ27" s="257">
        <v>13</v>
      </c>
      <c r="AK27" s="255">
        <v>37</v>
      </c>
      <c r="AL27" s="255">
        <v>11</v>
      </c>
      <c r="AM27" s="256">
        <v>64</v>
      </c>
      <c r="AN27" s="257">
        <v>0</v>
      </c>
      <c r="AO27" s="255">
        <v>0</v>
      </c>
      <c r="AP27" s="255">
        <v>0</v>
      </c>
      <c r="AQ27" s="258">
        <v>0</v>
      </c>
      <c r="AR27" s="183"/>
      <c r="AS27" s="254">
        <v>14</v>
      </c>
      <c r="AT27" s="255">
        <v>50</v>
      </c>
      <c r="AU27" s="255">
        <v>17</v>
      </c>
      <c r="AV27" s="256">
        <v>77</v>
      </c>
      <c r="AW27" s="257">
        <v>14</v>
      </c>
      <c r="AX27" s="255">
        <v>56</v>
      </c>
      <c r="AY27" s="255">
        <v>19</v>
      </c>
      <c r="AZ27" s="256">
        <v>10</v>
      </c>
      <c r="BA27" s="257">
        <v>0</v>
      </c>
      <c r="BB27" s="255">
        <v>0</v>
      </c>
      <c r="BC27" s="255">
        <v>0</v>
      </c>
      <c r="BD27" s="258">
        <v>0</v>
      </c>
      <c r="BE27" s="183"/>
      <c r="BF27" s="254">
        <v>15</v>
      </c>
      <c r="BG27" s="255">
        <v>20</v>
      </c>
      <c r="BH27" s="255">
        <v>23</v>
      </c>
      <c r="BI27" s="256">
        <v>78</v>
      </c>
      <c r="BJ27" s="257">
        <v>15</v>
      </c>
      <c r="BK27" s="255">
        <v>25</v>
      </c>
      <c r="BL27" s="255">
        <v>30</v>
      </c>
      <c r="BM27" s="256">
        <v>62</v>
      </c>
      <c r="BN27" s="257">
        <v>0</v>
      </c>
      <c r="BO27" s="255">
        <v>0</v>
      </c>
      <c r="BP27" s="255">
        <v>0</v>
      </c>
      <c r="BQ27" s="258">
        <v>0</v>
      </c>
      <c r="BR27" s="183"/>
      <c r="BS27" s="254">
        <v>0</v>
      </c>
      <c r="BT27" s="255">
        <v>0</v>
      </c>
      <c r="BU27" s="255">
        <v>0</v>
      </c>
      <c r="BV27" s="256">
        <v>0</v>
      </c>
      <c r="BW27" s="257">
        <v>0</v>
      </c>
      <c r="BX27" s="255">
        <v>0</v>
      </c>
      <c r="BY27" s="255">
        <v>0</v>
      </c>
      <c r="BZ27" s="256">
        <v>0</v>
      </c>
      <c r="CA27" s="257">
        <v>0</v>
      </c>
      <c r="CB27" s="255">
        <v>0</v>
      </c>
      <c r="CC27" s="255">
        <v>0</v>
      </c>
      <c r="CD27" s="258">
        <v>0</v>
      </c>
      <c r="CE27" s="183"/>
      <c r="CF27" s="254">
        <v>0</v>
      </c>
      <c r="CG27" s="255">
        <v>0</v>
      </c>
      <c r="CH27" s="255">
        <v>0</v>
      </c>
      <c r="CI27" s="258">
        <v>0</v>
      </c>
      <c r="CJ27" s="183"/>
      <c r="CK27" s="182">
        <v>17</v>
      </c>
      <c r="CL27" s="184" t="str">
        <f t="shared" si="6"/>
        <v>11:11:15,51</v>
      </c>
      <c r="CM27" s="185" t="str">
        <f t="shared" si="7"/>
        <v>11:21:38,34</v>
      </c>
      <c r="CN27" s="186" t="str">
        <f>IF(ISBLANK($E28),"",N27&amp;":"&amp;O27&amp;":"&amp;P27&amp;","&amp;Q27)</f>
        <v>0:0:0,0</v>
      </c>
      <c r="CO27" s="183"/>
      <c r="CP27" s="184" t="str">
        <f t="shared" si="24"/>
        <v>12:20:56,98</v>
      </c>
      <c r="CQ27" s="185" t="str">
        <f t="shared" si="25"/>
        <v>12:26:54,84</v>
      </c>
      <c r="CR27" s="186" t="str">
        <f t="shared" si="26"/>
        <v>0:0:0,0</v>
      </c>
      <c r="CS27" s="183"/>
      <c r="CT27" s="184" t="str">
        <f t="shared" si="27"/>
        <v>13:32:7,87</v>
      </c>
      <c r="CU27" s="185" t="str">
        <f t="shared" si="28"/>
        <v>13:37:11,64</v>
      </c>
      <c r="CV27" s="186" t="str">
        <f t="shared" si="29"/>
        <v>0:0:0,0</v>
      </c>
      <c r="CW27" s="183"/>
      <c r="CX27" s="184" t="str">
        <f t="shared" si="30"/>
        <v>14:50:17,77</v>
      </c>
      <c r="CY27" s="185" t="str">
        <f t="shared" si="31"/>
        <v>14:56:19,10</v>
      </c>
      <c r="CZ27" s="186" t="str">
        <f t="shared" si="32"/>
        <v>0:0:0,0</v>
      </c>
      <c r="DA27" s="183"/>
      <c r="DB27" s="184" t="str">
        <f t="shared" si="33"/>
        <v>15:20:23,78</v>
      </c>
      <c r="DC27" s="185" t="str">
        <f t="shared" si="34"/>
        <v>15:25:30,62</v>
      </c>
      <c r="DD27" s="186" t="str">
        <f t="shared" si="35"/>
        <v>0:0:0,0</v>
      </c>
      <c r="DE27" s="183"/>
      <c r="DF27" s="184" t="str">
        <f t="shared" si="36"/>
        <v>0:0:0,0</v>
      </c>
      <c r="DG27" s="185" t="str">
        <f t="shared" si="37"/>
        <v>0:0:0,0</v>
      </c>
      <c r="DH27" s="186" t="str">
        <f t="shared" si="38"/>
        <v>0:0:0,0</v>
      </c>
      <c r="DI27" s="183"/>
      <c r="DJ27" s="187" t="str">
        <f t="shared" si="39"/>
        <v>0:0:0,0</v>
      </c>
    </row>
    <row r="28" spans="2:114">
      <c r="B28" s="274">
        <f>IF(ISBLANK($E29),"",VLOOKUP($E29,Teilnehmer!$B$4:$K$199,2,0))</f>
        <v>2</v>
      </c>
      <c r="C28" s="190">
        <f>IF(ISBLANK($E29),"",VLOOKUP($E29,Teilnehmer!$B$4:$K$199,3,0))</f>
        <v>10</v>
      </c>
      <c r="D28" s="181" t="str">
        <f>IF(ISBLANK($E28),"",VLOOKUP($E28,Teilnehmer!$B$4:$K$199,4,0))</f>
        <v>Haselbeck Maximilian</v>
      </c>
      <c r="E28" s="182">
        <v>18</v>
      </c>
      <c r="F28" s="257">
        <v>11</v>
      </c>
      <c r="G28" s="255">
        <v>12</v>
      </c>
      <c r="H28" s="255">
        <v>23</v>
      </c>
      <c r="I28" s="258">
        <v>11</v>
      </c>
      <c r="J28" s="257">
        <v>11</v>
      </c>
      <c r="K28" s="255">
        <v>17</v>
      </c>
      <c r="L28" s="255">
        <v>40</v>
      </c>
      <c r="M28" s="258">
        <v>62</v>
      </c>
      <c r="N28" s="257">
        <v>0</v>
      </c>
      <c r="O28" s="255">
        <v>0</v>
      </c>
      <c r="P28" s="255">
        <v>0</v>
      </c>
      <c r="Q28" s="258">
        <v>0</v>
      </c>
      <c r="R28" s="183"/>
      <c r="S28" s="254">
        <v>12</v>
      </c>
      <c r="T28" s="255">
        <v>6</v>
      </c>
      <c r="U28" s="255">
        <v>55</v>
      </c>
      <c r="V28" s="258">
        <v>73</v>
      </c>
      <c r="W28" s="257">
        <v>12</v>
      </c>
      <c r="X28" s="255">
        <v>13</v>
      </c>
      <c r="Y28" s="255">
        <v>15</v>
      </c>
      <c r="Z28" s="256">
        <v>10</v>
      </c>
      <c r="AA28" s="257">
        <v>0</v>
      </c>
      <c r="AB28" s="255">
        <v>0</v>
      </c>
      <c r="AC28" s="255">
        <v>0</v>
      </c>
      <c r="AD28" s="258">
        <v>0</v>
      </c>
      <c r="AE28" s="183"/>
      <c r="AF28" s="254">
        <v>13</v>
      </c>
      <c r="AG28" s="255">
        <v>32</v>
      </c>
      <c r="AH28" s="255">
        <v>32</v>
      </c>
      <c r="AI28" s="256">
        <v>77</v>
      </c>
      <c r="AJ28" s="218"/>
      <c r="AK28" s="218"/>
      <c r="AL28" s="218"/>
      <c r="AM28" s="218"/>
      <c r="AN28" s="257">
        <v>0</v>
      </c>
      <c r="AO28" s="255">
        <v>0</v>
      </c>
      <c r="AP28" s="255">
        <v>0</v>
      </c>
      <c r="AQ28" s="258">
        <v>0</v>
      </c>
      <c r="AR28" s="183"/>
      <c r="AS28" s="218"/>
      <c r="AT28" s="218"/>
      <c r="AU28" s="218"/>
      <c r="AV28" s="218"/>
      <c r="AW28" s="218"/>
      <c r="AX28" s="218"/>
      <c r="AY28" s="218"/>
      <c r="AZ28" s="218"/>
      <c r="BA28" s="257">
        <v>0</v>
      </c>
      <c r="BB28" s="255">
        <v>0</v>
      </c>
      <c r="BC28" s="255">
        <v>0</v>
      </c>
      <c r="BD28" s="258">
        <v>0</v>
      </c>
      <c r="BE28" s="183"/>
      <c r="BF28" s="218"/>
      <c r="BG28" s="218"/>
      <c r="BH28" s="218"/>
      <c r="BI28" s="218"/>
      <c r="BJ28" s="218"/>
      <c r="BK28" s="218"/>
      <c r="BL28" s="218"/>
      <c r="BM28" s="218"/>
      <c r="BN28" s="257">
        <v>0</v>
      </c>
      <c r="BO28" s="255">
        <v>0</v>
      </c>
      <c r="BP28" s="255">
        <v>0</v>
      </c>
      <c r="BQ28" s="258">
        <v>0</v>
      </c>
      <c r="BR28" s="183"/>
      <c r="BS28" s="254">
        <v>0</v>
      </c>
      <c r="BT28" s="255">
        <v>0</v>
      </c>
      <c r="BU28" s="255">
        <v>0</v>
      </c>
      <c r="BV28" s="256">
        <v>0</v>
      </c>
      <c r="BW28" s="257">
        <v>0</v>
      </c>
      <c r="BX28" s="255">
        <v>0</v>
      </c>
      <c r="BY28" s="255">
        <v>0</v>
      </c>
      <c r="BZ28" s="256">
        <v>0</v>
      </c>
      <c r="CA28" s="257">
        <v>0</v>
      </c>
      <c r="CB28" s="255">
        <v>0</v>
      </c>
      <c r="CC28" s="255">
        <v>0</v>
      </c>
      <c r="CD28" s="258">
        <v>0</v>
      </c>
      <c r="CE28" s="183"/>
      <c r="CF28" s="254">
        <v>0</v>
      </c>
      <c r="CG28" s="255">
        <v>0</v>
      </c>
      <c r="CH28" s="255">
        <v>0</v>
      </c>
      <c r="CI28" s="258">
        <v>0</v>
      </c>
      <c r="CJ28" s="183"/>
      <c r="CK28" s="182">
        <v>18</v>
      </c>
      <c r="CL28" s="184" t="str">
        <f t="shared" si="6"/>
        <v>11:12:23,11</v>
      </c>
      <c r="CM28" s="185" t="str">
        <f t="shared" si="7"/>
        <v>11:17:40,62</v>
      </c>
      <c r="CN28" s="186" t="str">
        <f>IF(ISBLANK($E29),"",N28&amp;":"&amp;O28&amp;":"&amp;P28&amp;","&amp;Q28)</f>
        <v>0:0:0,0</v>
      </c>
      <c r="CO28" s="183"/>
      <c r="CP28" s="184" t="str">
        <f t="shared" si="24"/>
        <v>12:6:55,73</v>
      </c>
      <c r="CQ28" s="185" t="str">
        <f t="shared" si="25"/>
        <v>12:13:15,10</v>
      </c>
      <c r="CR28" s="186" t="str">
        <f t="shared" si="26"/>
        <v>0:0:0,0</v>
      </c>
      <c r="CS28" s="183"/>
      <c r="CT28" s="184" t="str">
        <f t="shared" si="27"/>
        <v>13:32:32,77</v>
      </c>
      <c r="CU28" s="185" t="str">
        <f t="shared" si="28"/>
        <v>::,</v>
      </c>
      <c r="CV28" s="186" t="str">
        <f t="shared" si="29"/>
        <v>0:0:0,0</v>
      </c>
      <c r="CW28" s="183"/>
      <c r="CX28" s="184" t="str">
        <f t="shared" si="30"/>
        <v>::,</v>
      </c>
      <c r="CY28" s="185" t="str">
        <f t="shared" si="31"/>
        <v>::,</v>
      </c>
      <c r="CZ28" s="186" t="str">
        <f t="shared" si="32"/>
        <v>0:0:0,0</v>
      </c>
      <c r="DA28" s="183"/>
      <c r="DB28" s="184" t="str">
        <f t="shared" si="33"/>
        <v>::,</v>
      </c>
      <c r="DC28" s="185" t="str">
        <f t="shared" si="34"/>
        <v>::,</v>
      </c>
      <c r="DD28" s="186" t="str">
        <f t="shared" si="35"/>
        <v>0:0:0,0</v>
      </c>
      <c r="DE28" s="183"/>
      <c r="DF28" s="184" t="str">
        <f t="shared" si="36"/>
        <v>0:0:0,0</v>
      </c>
      <c r="DG28" s="185" t="str">
        <f t="shared" si="37"/>
        <v>0:0:0,0</v>
      </c>
      <c r="DH28" s="186" t="str">
        <f t="shared" si="38"/>
        <v>0:0:0,0</v>
      </c>
      <c r="DI28" s="183"/>
      <c r="DJ28" s="187" t="str">
        <f t="shared" si="39"/>
        <v>0:0:0,0</v>
      </c>
    </row>
    <row r="29" spans="2:114">
      <c r="B29" s="274">
        <f>IF(ISBLANK($E30),"",VLOOKUP($E30,Teilnehmer!$B$4:$K$199,2,0))</f>
        <v>2</v>
      </c>
      <c r="C29" s="190">
        <f>IF(ISBLANK($E30),"",VLOOKUP($E30,Teilnehmer!$B$4:$K$199,3,0))</f>
        <v>9</v>
      </c>
      <c r="D29" s="181" t="str">
        <f>IF(ISBLANK($E29),"",VLOOKUP($E29,Teilnehmer!$B$4:$K$199,4,0))</f>
        <v>Stangl Mathias</v>
      </c>
      <c r="E29" s="182">
        <v>19</v>
      </c>
      <c r="F29" s="257">
        <v>11</v>
      </c>
      <c r="G29" s="255">
        <v>13</v>
      </c>
      <c r="H29" s="255">
        <v>11</v>
      </c>
      <c r="I29" s="258">
        <v>81</v>
      </c>
      <c r="J29" s="257">
        <v>11</v>
      </c>
      <c r="K29" s="255">
        <v>19</v>
      </c>
      <c r="L29" s="255">
        <v>7</v>
      </c>
      <c r="M29" s="258">
        <v>55</v>
      </c>
      <c r="N29" s="257">
        <v>0</v>
      </c>
      <c r="O29" s="255">
        <v>0</v>
      </c>
      <c r="P29" s="255">
        <v>0</v>
      </c>
      <c r="Q29" s="258">
        <v>0</v>
      </c>
      <c r="R29" s="183"/>
      <c r="S29" s="254">
        <v>12</v>
      </c>
      <c r="T29" s="255">
        <v>9</v>
      </c>
      <c r="U29" s="255">
        <v>9</v>
      </c>
      <c r="V29" s="258">
        <v>72</v>
      </c>
      <c r="W29" s="257">
        <v>12</v>
      </c>
      <c r="X29" s="255">
        <v>15</v>
      </c>
      <c r="Y29" s="255">
        <v>59</v>
      </c>
      <c r="Z29" s="256">
        <v>51</v>
      </c>
      <c r="AA29" s="257">
        <v>0</v>
      </c>
      <c r="AB29" s="255">
        <v>0</v>
      </c>
      <c r="AC29" s="255">
        <v>0</v>
      </c>
      <c r="AD29" s="258">
        <v>0</v>
      </c>
      <c r="AE29" s="183"/>
      <c r="AF29" s="254">
        <v>13</v>
      </c>
      <c r="AG29" s="255">
        <v>34</v>
      </c>
      <c r="AH29" s="255">
        <v>19</v>
      </c>
      <c r="AI29" s="256">
        <v>73</v>
      </c>
      <c r="AJ29" s="257">
        <v>13</v>
      </c>
      <c r="AK29" s="255">
        <v>40</v>
      </c>
      <c r="AL29" s="255">
        <v>9</v>
      </c>
      <c r="AM29" s="256">
        <v>75</v>
      </c>
      <c r="AN29" s="257">
        <v>0</v>
      </c>
      <c r="AO29" s="255">
        <v>0</v>
      </c>
      <c r="AP29" s="255">
        <v>0</v>
      </c>
      <c r="AQ29" s="258">
        <v>0</v>
      </c>
      <c r="AR29" s="183"/>
      <c r="AS29" s="254">
        <v>14</v>
      </c>
      <c r="AT29" s="255">
        <v>50</v>
      </c>
      <c r="AU29" s="255">
        <v>34</v>
      </c>
      <c r="AV29" s="256">
        <v>63</v>
      </c>
      <c r="AW29" s="257">
        <v>14</v>
      </c>
      <c r="AX29" s="255">
        <v>56</v>
      </c>
      <c r="AY29" s="255">
        <v>23</v>
      </c>
      <c r="AZ29" s="256">
        <v>79</v>
      </c>
      <c r="BA29" s="257">
        <v>0</v>
      </c>
      <c r="BB29" s="255">
        <v>0</v>
      </c>
      <c r="BC29" s="255">
        <v>0</v>
      </c>
      <c r="BD29" s="258">
        <v>0</v>
      </c>
      <c r="BE29" s="183"/>
      <c r="BF29" s="254">
        <v>15</v>
      </c>
      <c r="BG29" s="255">
        <v>31</v>
      </c>
      <c r="BH29" s="255">
        <v>57</v>
      </c>
      <c r="BI29" s="256">
        <v>3</v>
      </c>
      <c r="BJ29" s="257">
        <v>15</v>
      </c>
      <c r="BK29" s="255">
        <v>40</v>
      </c>
      <c r="BL29" s="255">
        <v>2</v>
      </c>
      <c r="BM29" s="256">
        <v>79</v>
      </c>
      <c r="BN29" s="257">
        <v>0</v>
      </c>
      <c r="BO29" s="255">
        <v>1</v>
      </c>
      <c r="BP29" s="255">
        <v>0</v>
      </c>
      <c r="BQ29" s="258">
        <v>0</v>
      </c>
      <c r="BR29" s="183"/>
      <c r="BS29" s="254">
        <v>0</v>
      </c>
      <c r="BT29" s="255">
        <v>0</v>
      </c>
      <c r="BU29" s="255">
        <v>0</v>
      </c>
      <c r="BV29" s="256">
        <v>0</v>
      </c>
      <c r="BW29" s="257">
        <v>0</v>
      </c>
      <c r="BX29" s="255">
        <v>0</v>
      </c>
      <c r="BY29" s="255">
        <v>0</v>
      </c>
      <c r="BZ29" s="256">
        <v>0</v>
      </c>
      <c r="CA29" s="257">
        <v>0</v>
      </c>
      <c r="CB29" s="255">
        <v>0</v>
      </c>
      <c r="CC29" s="255">
        <v>0</v>
      </c>
      <c r="CD29" s="258">
        <v>0</v>
      </c>
      <c r="CE29" s="183"/>
      <c r="CF29" s="254">
        <v>0</v>
      </c>
      <c r="CG29" s="255">
        <v>0</v>
      </c>
      <c r="CH29" s="255">
        <v>0</v>
      </c>
      <c r="CI29" s="258">
        <v>0</v>
      </c>
      <c r="CJ29" s="183"/>
      <c r="CK29" s="182">
        <v>19</v>
      </c>
      <c r="CL29" s="184" t="str">
        <f t="shared" si="6"/>
        <v>11:13:11,81</v>
      </c>
      <c r="CM29" s="185" t="str">
        <f t="shared" si="7"/>
        <v>11:19:7,55</v>
      </c>
      <c r="CN29" s="186" t="str">
        <f>IF(ISBLANK($E30),"",N29&amp;":"&amp;O29&amp;":"&amp;P29&amp;","&amp;Q29)</f>
        <v>0:0:0,0</v>
      </c>
      <c r="CO29" s="183"/>
      <c r="CP29" s="184" t="str">
        <f t="shared" si="24"/>
        <v>12:9:9,72</v>
      </c>
      <c r="CQ29" s="185" t="str">
        <f t="shared" si="25"/>
        <v>12:15:59,51</v>
      </c>
      <c r="CR29" s="186" t="str">
        <f t="shared" si="26"/>
        <v>0:0:0,0</v>
      </c>
      <c r="CS29" s="183"/>
      <c r="CT29" s="184" t="str">
        <f t="shared" si="27"/>
        <v>13:34:19,73</v>
      </c>
      <c r="CU29" s="185" t="str">
        <f t="shared" si="28"/>
        <v>13:40:9,75</v>
      </c>
      <c r="CV29" s="186" t="str">
        <f t="shared" si="29"/>
        <v>0:0:0,0</v>
      </c>
      <c r="CW29" s="183"/>
      <c r="CX29" s="184" t="str">
        <f t="shared" si="30"/>
        <v>14:50:34,63</v>
      </c>
      <c r="CY29" s="185" t="str">
        <f t="shared" si="31"/>
        <v>14:56:23,79</v>
      </c>
      <c r="CZ29" s="186" t="str">
        <f t="shared" si="32"/>
        <v>0:0:0,0</v>
      </c>
      <c r="DA29" s="183"/>
      <c r="DB29" s="184" t="str">
        <f t="shared" si="33"/>
        <v>15:31:57,3</v>
      </c>
      <c r="DC29" s="185" t="str">
        <f t="shared" si="34"/>
        <v>15:40:2,79</v>
      </c>
      <c r="DD29" s="186" t="str">
        <f t="shared" si="35"/>
        <v>0:1:0,0</v>
      </c>
      <c r="DE29" s="183"/>
      <c r="DF29" s="184" t="str">
        <f t="shared" si="36"/>
        <v>0:0:0,0</v>
      </c>
      <c r="DG29" s="185" t="str">
        <f t="shared" si="37"/>
        <v>0:0:0,0</v>
      </c>
      <c r="DH29" s="186" t="str">
        <f t="shared" si="38"/>
        <v>0:0:0,0</v>
      </c>
      <c r="DI29" s="183"/>
      <c r="DJ29" s="187" t="str">
        <f t="shared" si="39"/>
        <v>0:0:0,0</v>
      </c>
    </row>
    <row r="30" spans="2:114">
      <c r="B30" s="274">
        <f>IF(ISBLANK($E31),"",VLOOKUP($E31,Teilnehmer!$B$4:$K$199,2,0))</f>
        <v>2</v>
      </c>
      <c r="C30" s="190">
        <f>IF(ISBLANK($E31),"",VLOOKUP($E31,Teilnehmer!$B$4:$K$199,3,0))</f>
        <v>9</v>
      </c>
      <c r="D30" s="181" t="str">
        <f>IF(ISBLANK($E30),"",VLOOKUP($E30,Teilnehmer!$B$4:$K$199,4,0))</f>
        <v>Russ Armin</v>
      </c>
      <c r="E30" s="182">
        <v>20</v>
      </c>
      <c r="F30" s="257">
        <v>11</v>
      </c>
      <c r="G30" s="255">
        <v>14</v>
      </c>
      <c r="H30" s="255">
        <v>44</v>
      </c>
      <c r="I30" s="258">
        <v>88</v>
      </c>
      <c r="J30" s="257">
        <v>11</v>
      </c>
      <c r="K30" s="255">
        <v>20</v>
      </c>
      <c r="L30" s="255">
        <v>33</v>
      </c>
      <c r="M30" s="258">
        <v>60</v>
      </c>
      <c r="N30" s="257">
        <v>0</v>
      </c>
      <c r="O30" s="255">
        <v>0</v>
      </c>
      <c r="P30" s="255">
        <v>0</v>
      </c>
      <c r="Q30" s="258">
        <v>0</v>
      </c>
      <c r="R30" s="183"/>
      <c r="S30" s="254">
        <v>12</v>
      </c>
      <c r="T30" s="255">
        <v>13</v>
      </c>
      <c r="U30" s="255">
        <v>33</v>
      </c>
      <c r="V30" s="258">
        <v>61</v>
      </c>
      <c r="W30" s="257">
        <v>12</v>
      </c>
      <c r="X30" s="255">
        <v>20</v>
      </c>
      <c r="Y30" s="255">
        <v>5</v>
      </c>
      <c r="Z30" s="256">
        <v>40</v>
      </c>
      <c r="AA30" s="257">
        <v>0</v>
      </c>
      <c r="AB30" s="255">
        <v>0</v>
      </c>
      <c r="AC30" s="255">
        <v>0</v>
      </c>
      <c r="AD30" s="258">
        <v>0</v>
      </c>
      <c r="AE30" s="183"/>
      <c r="AF30" s="254">
        <v>13</v>
      </c>
      <c r="AG30" s="255">
        <v>34</v>
      </c>
      <c r="AH30" s="255">
        <v>50</v>
      </c>
      <c r="AI30" s="256">
        <v>40</v>
      </c>
      <c r="AJ30" s="257">
        <v>13</v>
      </c>
      <c r="AK30" s="255">
        <v>40</v>
      </c>
      <c r="AL30" s="255">
        <v>28</v>
      </c>
      <c r="AM30" s="256">
        <v>53</v>
      </c>
      <c r="AN30" s="257">
        <v>0</v>
      </c>
      <c r="AO30" s="255">
        <v>0</v>
      </c>
      <c r="AP30" s="255">
        <v>0</v>
      </c>
      <c r="AQ30" s="258">
        <v>0</v>
      </c>
      <c r="AR30" s="183"/>
      <c r="AS30" s="254">
        <v>14</v>
      </c>
      <c r="AT30" s="255">
        <v>50</v>
      </c>
      <c r="AU30" s="255">
        <v>50</v>
      </c>
      <c r="AV30" s="256">
        <v>14</v>
      </c>
      <c r="AW30" s="257">
        <v>14</v>
      </c>
      <c r="AX30" s="255">
        <v>57</v>
      </c>
      <c r="AY30" s="255">
        <v>4</v>
      </c>
      <c r="AZ30" s="256">
        <v>84</v>
      </c>
      <c r="BA30" s="257">
        <v>0</v>
      </c>
      <c r="BB30" s="255">
        <v>0</v>
      </c>
      <c r="BC30" s="255">
        <v>0</v>
      </c>
      <c r="BD30" s="258">
        <v>0</v>
      </c>
      <c r="BE30" s="183"/>
      <c r="BF30" s="254">
        <v>15</v>
      </c>
      <c r="BG30" s="255">
        <v>21</v>
      </c>
      <c r="BH30" s="255">
        <v>17</v>
      </c>
      <c r="BI30" s="256">
        <v>21</v>
      </c>
      <c r="BJ30" s="257">
        <v>15</v>
      </c>
      <c r="BK30" s="255">
        <v>26</v>
      </c>
      <c r="BL30" s="255">
        <v>57</v>
      </c>
      <c r="BM30" s="256">
        <v>68</v>
      </c>
      <c r="BN30" s="257">
        <v>0</v>
      </c>
      <c r="BO30" s="255">
        <v>0</v>
      </c>
      <c r="BP30" s="255">
        <v>0</v>
      </c>
      <c r="BQ30" s="258">
        <v>0</v>
      </c>
      <c r="BR30" s="183"/>
      <c r="BS30" s="254">
        <v>0</v>
      </c>
      <c r="BT30" s="255">
        <v>0</v>
      </c>
      <c r="BU30" s="255">
        <v>0</v>
      </c>
      <c r="BV30" s="256">
        <v>0</v>
      </c>
      <c r="BW30" s="257">
        <v>0</v>
      </c>
      <c r="BX30" s="255">
        <v>0</v>
      </c>
      <c r="BY30" s="255">
        <v>0</v>
      </c>
      <c r="BZ30" s="256">
        <v>0</v>
      </c>
      <c r="CA30" s="257">
        <v>0</v>
      </c>
      <c r="CB30" s="255">
        <v>0</v>
      </c>
      <c r="CC30" s="255">
        <v>0</v>
      </c>
      <c r="CD30" s="258">
        <v>0</v>
      </c>
      <c r="CE30" s="183"/>
      <c r="CF30" s="254">
        <v>0</v>
      </c>
      <c r="CG30" s="255">
        <v>0</v>
      </c>
      <c r="CH30" s="255">
        <v>0</v>
      </c>
      <c r="CI30" s="258">
        <v>0</v>
      </c>
      <c r="CJ30" s="183"/>
      <c r="CK30" s="182">
        <v>20</v>
      </c>
      <c r="CL30" s="184" t="str">
        <f t="shared" si="6"/>
        <v>11:14:44,88</v>
      </c>
      <c r="CM30" s="185" t="str">
        <f t="shared" si="7"/>
        <v>11:20:33,60</v>
      </c>
      <c r="CN30" s="186" t="str">
        <f>IF(ISBLANK($E31),"",N30&amp;":"&amp;O30&amp;":"&amp;P30&amp;","&amp;Q30)</f>
        <v>0:0:0,0</v>
      </c>
      <c r="CO30" s="183"/>
      <c r="CP30" s="184" t="str">
        <f t="shared" si="24"/>
        <v>12:13:33,61</v>
      </c>
      <c r="CQ30" s="185" t="str">
        <f t="shared" si="25"/>
        <v>12:20:5,40</v>
      </c>
      <c r="CR30" s="186" t="str">
        <f t="shared" si="26"/>
        <v>0:0:0,0</v>
      </c>
      <c r="CS30" s="183"/>
      <c r="CT30" s="184" t="str">
        <f t="shared" si="27"/>
        <v>13:34:50,40</v>
      </c>
      <c r="CU30" s="185" t="str">
        <f t="shared" si="28"/>
        <v>13:40:28,53</v>
      </c>
      <c r="CV30" s="186" t="str">
        <f t="shared" si="29"/>
        <v>0:0:0,0</v>
      </c>
      <c r="CW30" s="183"/>
      <c r="CX30" s="184" t="str">
        <f t="shared" si="30"/>
        <v>14:50:50,14</v>
      </c>
      <c r="CY30" s="185" t="str">
        <f t="shared" si="31"/>
        <v>14:57:4,84</v>
      </c>
      <c r="CZ30" s="186" t="str">
        <f t="shared" si="32"/>
        <v>0:0:0,0</v>
      </c>
      <c r="DA30" s="183"/>
      <c r="DB30" s="184" t="str">
        <f t="shared" si="33"/>
        <v>15:21:17,21</v>
      </c>
      <c r="DC30" s="185" t="str">
        <f t="shared" si="34"/>
        <v>15:26:57,68</v>
      </c>
      <c r="DD30" s="186" t="str">
        <f t="shared" si="35"/>
        <v>0:0:0,0</v>
      </c>
      <c r="DE30" s="183"/>
      <c r="DF30" s="184" t="str">
        <f t="shared" si="36"/>
        <v>0:0:0,0</v>
      </c>
      <c r="DG30" s="185" t="str">
        <f t="shared" si="37"/>
        <v>0:0:0,0</v>
      </c>
      <c r="DH30" s="186" t="str">
        <f t="shared" si="38"/>
        <v>0:0:0,0</v>
      </c>
      <c r="DI30" s="183"/>
      <c r="DJ30" s="187" t="str">
        <f t="shared" si="39"/>
        <v>0:0:0,0</v>
      </c>
    </row>
    <row r="31" spans="2:114">
      <c r="B31" s="274">
        <f>IF(ISBLANK($E32),"",VLOOKUP($E32,Teilnehmer!$B$4:$K$199,2,0))</f>
        <v>2</v>
      </c>
      <c r="C31" s="190">
        <f>IF(ISBLANK($E32),"",VLOOKUP($E32,Teilnehmer!$B$4:$K$199,3,0))</f>
        <v>9</v>
      </c>
      <c r="D31" s="181" t="str">
        <f>IF(ISBLANK($E31),"",VLOOKUP($E31,Teilnehmer!$B$4:$K$199,4,0))</f>
        <v>Bader Steffen</v>
      </c>
      <c r="E31" s="182">
        <v>21</v>
      </c>
      <c r="F31" s="257">
        <v>11</v>
      </c>
      <c r="G31" s="255">
        <v>16</v>
      </c>
      <c r="H31" s="255">
        <v>3</v>
      </c>
      <c r="I31" s="258">
        <v>97</v>
      </c>
      <c r="J31" s="257">
        <v>11</v>
      </c>
      <c r="K31" s="255">
        <v>21</v>
      </c>
      <c r="L31" s="255">
        <v>18</v>
      </c>
      <c r="M31" s="258">
        <v>19</v>
      </c>
      <c r="N31" s="257">
        <v>0</v>
      </c>
      <c r="O31" s="255">
        <v>0</v>
      </c>
      <c r="P31" s="255">
        <v>0</v>
      </c>
      <c r="Q31" s="258">
        <v>0</v>
      </c>
      <c r="R31" s="183"/>
      <c r="S31" s="254">
        <v>12</v>
      </c>
      <c r="T31" s="255">
        <v>13</v>
      </c>
      <c r="U31" s="255">
        <v>55</v>
      </c>
      <c r="V31" s="258">
        <v>40</v>
      </c>
      <c r="W31" s="257">
        <v>12</v>
      </c>
      <c r="X31" s="255">
        <v>20</v>
      </c>
      <c r="Y31" s="255">
        <v>19</v>
      </c>
      <c r="Z31" s="256">
        <v>70</v>
      </c>
      <c r="AA31" s="257">
        <v>0</v>
      </c>
      <c r="AB31" s="255">
        <v>0</v>
      </c>
      <c r="AC31" s="255">
        <v>0</v>
      </c>
      <c r="AD31" s="258">
        <v>0</v>
      </c>
      <c r="AE31" s="183"/>
      <c r="AF31" s="254">
        <v>13</v>
      </c>
      <c r="AG31" s="255">
        <v>35</v>
      </c>
      <c r="AH31" s="255">
        <v>20</v>
      </c>
      <c r="AI31" s="256">
        <v>97</v>
      </c>
      <c r="AJ31" s="257">
        <v>13</v>
      </c>
      <c r="AK31" s="255">
        <v>40</v>
      </c>
      <c r="AL31" s="255">
        <v>32</v>
      </c>
      <c r="AM31" s="256">
        <v>92</v>
      </c>
      <c r="AN31" s="257">
        <v>0</v>
      </c>
      <c r="AO31" s="255">
        <v>0</v>
      </c>
      <c r="AP31" s="255">
        <v>0</v>
      </c>
      <c r="AQ31" s="258">
        <v>0</v>
      </c>
      <c r="AR31" s="183"/>
      <c r="AS31" s="254">
        <v>14</v>
      </c>
      <c r="AT31" s="255">
        <v>51</v>
      </c>
      <c r="AU31" s="255">
        <v>5</v>
      </c>
      <c r="AV31" s="256">
        <v>53</v>
      </c>
      <c r="AW31" s="257">
        <v>14</v>
      </c>
      <c r="AX31" s="255">
        <v>57</v>
      </c>
      <c r="AY31" s="255">
        <v>12</v>
      </c>
      <c r="AZ31" s="256">
        <v>22</v>
      </c>
      <c r="BA31" s="257">
        <v>0</v>
      </c>
      <c r="BB31" s="255">
        <v>0</v>
      </c>
      <c r="BC31" s="255">
        <v>0</v>
      </c>
      <c r="BD31" s="258">
        <v>0</v>
      </c>
      <c r="BE31" s="183"/>
      <c r="BF31" s="254">
        <v>15</v>
      </c>
      <c r="BG31" s="255">
        <v>21</v>
      </c>
      <c r="BH31" s="255">
        <v>43</v>
      </c>
      <c r="BI31" s="256">
        <v>75</v>
      </c>
      <c r="BJ31" s="257">
        <v>15</v>
      </c>
      <c r="BK31" s="255">
        <v>26</v>
      </c>
      <c r="BL31" s="255">
        <v>59</v>
      </c>
      <c r="BM31" s="256">
        <v>45</v>
      </c>
      <c r="BN31" s="257">
        <v>0</v>
      </c>
      <c r="BO31" s="255">
        <v>0</v>
      </c>
      <c r="BP31" s="255">
        <v>0</v>
      </c>
      <c r="BQ31" s="258">
        <v>0</v>
      </c>
      <c r="BR31" s="183"/>
      <c r="BS31" s="254">
        <v>0</v>
      </c>
      <c r="BT31" s="255">
        <v>0</v>
      </c>
      <c r="BU31" s="255">
        <v>0</v>
      </c>
      <c r="BV31" s="256">
        <v>0</v>
      </c>
      <c r="BW31" s="257">
        <v>0</v>
      </c>
      <c r="BX31" s="255">
        <v>0</v>
      </c>
      <c r="BY31" s="255">
        <v>0</v>
      </c>
      <c r="BZ31" s="256">
        <v>0</v>
      </c>
      <c r="CA31" s="257">
        <v>0</v>
      </c>
      <c r="CB31" s="255">
        <v>0</v>
      </c>
      <c r="CC31" s="255">
        <v>0</v>
      </c>
      <c r="CD31" s="258">
        <v>0</v>
      </c>
      <c r="CE31" s="183"/>
      <c r="CF31" s="254">
        <v>0</v>
      </c>
      <c r="CG31" s="255">
        <v>0</v>
      </c>
      <c r="CH31" s="255">
        <v>0</v>
      </c>
      <c r="CI31" s="258">
        <v>0</v>
      </c>
      <c r="CJ31" s="183"/>
      <c r="CK31" s="182">
        <v>21</v>
      </c>
      <c r="CL31" s="184" t="str">
        <f t="shared" si="6"/>
        <v>11:16:3,97</v>
      </c>
      <c r="CM31" s="185" t="str">
        <f t="shared" si="7"/>
        <v>11:21:18,19</v>
      </c>
      <c r="CN31" s="186" t="str">
        <f>IF(ISBLANK($E32),"",N31&amp;":"&amp;O31&amp;":"&amp;P31&amp;","&amp;Q31)</f>
        <v>0:0:0,0</v>
      </c>
      <c r="CO31" s="183"/>
      <c r="CP31" s="184" t="str">
        <f t="shared" si="24"/>
        <v>12:13:55,40</v>
      </c>
      <c r="CQ31" s="185" t="str">
        <f t="shared" si="25"/>
        <v>12:20:19,70</v>
      </c>
      <c r="CR31" s="186" t="str">
        <f t="shared" si="26"/>
        <v>0:0:0,0</v>
      </c>
      <c r="CS31" s="183"/>
      <c r="CT31" s="184" t="str">
        <f t="shared" si="27"/>
        <v>13:35:20,97</v>
      </c>
      <c r="CU31" s="185" t="str">
        <f t="shared" si="28"/>
        <v>13:40:32,92</v>
      </c>
      <c r="CV31" s="186" t="str">
        <f t="shared" si="29"/>
        <v>0:0:0,0</v>
      </c>
      <c r="CW31" s="183"/>
      <c r="CX31" s="184" t="str">
        <f t="shared" si="30"/>
        <v>14:51:5,53</v>
      </c>
      <c r="CY31" s="185" t="str">
        <f t="shared" si="31"/>
        <v>14:57:12,22</v>
      </c>
      <c r="CZ31" s="186" t="str">
        <f t="shared" si="32"/>
        <v>0:0:0,0</v>
      </c>
      <c r="DA31" s="183"/>
      <c r="DB31" s="184" t="str">
        <f t="shared" si="33"/>
        <v>15:21:43,75</v>
      </c>
      <c r="DC31" s="185" t="str">
        <f t="shared" si="34"/>
        <v>15:26:59,45</v>
      </c>
      <c r="DD31" s="186" t="str">
        <f t="shared" si="35"/>
        <v>0:0:0,0</v>
      </c>
      <c r="DE31" s="183"/>
      <c r="DF31" s="184" t="str">
        <f t="shared" si="36"/>
        <v>0:0:0,0</v>
      </c>
      <c r="DG31" s="185" t="str">
        <f t="shared" si="37"/>
        <v>0:0:0,0</v>
      </c>
      <c r="DH31" s="186" t="str">
        <f t="shared" si="38"/>
        <v>0:0:0,0</v>
      </c>
      <c r="DI31" s="183"/>
      <c r="DJ31" s="187" t="str">
        <f t="shared" si="39"/>
        <v>0:0:0,0</v>
      </c>
    </row>
    <row r="32" spans="2:114">
      <c r="B32" s="274">
        <f>IF(ISBLANK($E33),"",VLOOKUP($E33,Teilnehmer!$B$4:$K$199,2,0))</f>
        <v>2</v>
      </c>
      <c r="C32" s="190">
        <f>IF(ISBLANK($E33),"",VLOOKUP($E33,Teilnehmer!$B$4:$K$199,3,0))</f>
        <v>9</v>
      </c>
      <c r="D32" s="181" t="str">
        <f>IF(ISBLANK($E32),"",VLOOKUP($E32,Teilnehmer!$B$4:$K$199,4,0))</f>
        <v>Schindler Thomas</v>
      </c>
      <c r="E32" s="182">
        <v>22</v>
      </c>
      <c r="F32" s="257">
        <v>11</v>
      </c>
      <c r="G32" s="255">
        <v>18</v>
      </c>
      <c r="H32" s="255">
        <v>43</v>
      </c>
      <c r="I32" s="258">
        <v>9</v>
      </c>
      <c r="J32" s="257">
        <v>11</v>
      </c>
      <c r="K32" s="255">
        <v>24</v>
      </c>
      <c r="L32" s="255">
        <v>11</v>
      </c>
      <c r="M32" s="258">
        <v>15</v>
      </c>
      <c r="N32" s="257">
        <v>0</v>
      </c>
      <c r="O32" s="255">
        <v>0</v>
      </c>
      <c r="P32" s="255">
        <v>0</v>
      </c>
      <c r="Q32" s="258">
        <v>0</v>
      </c>
      <c r="R32" s="183"/>
      <c r="S32" s="218"/>
      <c r="T32" s="218"/>
      <c r="U32" s="218"/>
      <c r="V32" s="218"/>
      <c r="W32" s="218"/>
      <c r="X32" s="218"/>
      <c r="Y32" s="218"/>
      <c r="Z32" s="218"/>
      <c r="AA32" s="257">
        <v>0</v>
      </c>
      <c r="AB32" s="255">
        <v>0</v>
      </c>
      <c r="AC32" s="255">
        <v>0</v>
      </c>
      <c r="AD32" s="258">
        <v>0</v>
      </c>
      <c r="AE32" s="183"/>
      <c r="AF32" s="218"/>
      <c r="AG32" s="218"/>
      <c r="AH32" s="218"/>
      <c r="AI32" s="218"/>
      <c r="AJ32" s="218"/>
      <c r="AK32" s="218"/>
      <c r="AL32" s="218"/>
      <c r="AM32" s="218"/>
      <c r="AN32" s="257">
        <v>0</v>
      </c>
      <c r="AO32" s="255">
        <v>0</v>
      </c>
      <c r="AP32" s="255">
        <v>0</v>
      </c>
      <c r="AQ32" s="258">
        <v>0</v>
      </c>
      <c r="AR32" s="183"/>
      <c r="AS32" s="218"/>
      <c r="AT32" s="218"/>
      <c r="AU32" s="218"/>
      <c r="AV32" s="218"/>
      <c r="AW32" s="218"/>
      <c r="AX32" s="218"/>
      <c r="AY32" s="218"/>
      <c r="AZ32" s="218"/>
      <c r="BA32" s="257">
        <v>0</v>
      </c>
      <c r="BB32" s="255">
        <v>0</v>
      </c>
      <c r="BC32" s="255">
        <v>0</v>
      </c>
      <c r="BD32" s="258">
        <v>0</v>
      </c>
      <c r="BE32" s="183"/>
      <c r="BF32" s="218"/>
      <c r="BG32" s="218"/>
      <c r="BH32" s="218"/>
      <c r="BI32" s="218"/>
      <c r="BJ32" s="218"/>
      <c r="BK32" s="218"/>
      <c r="BL32" s="218"/>
      <c r="BM32" s="218"/>
      <c r="BN32" s="257">
        <v>0</v>
      </c>
      <c r="BO32" s="255">
        <v>0</v>
      </c>
      <c r="BP32" s="255">
        <v>0</v>
      </c>
      <c r="BQ32" s="258">
        <v>0</v>
      </c>
      <c r="BR32" s="183"/>
      <c r="BS32" s="254">
        <v>0</v>
      </c>
      <c r="BT32" s="255">
        <v>0</v>
      </c>
      <c r="BU32" s="255">
        <v>0</v>
      </c>
      <c r="BV32" s="256">
        <v>0</v>
      </c>
      <c r="BW32" s="257">
        <v>0</v>
      </c>
      <c r="BX32" s="255">
        <v>0</v>
      </c>
      <c r="BY32" s="255">
        <v>0</v>
      </c>
      <c r="BZ32" s="256">
        <v>0</v>
      </c>
      <c r="CA32" s="257">
        <v>0</v>
      </c>
      <c r="CB32" s="255">
        <v>0</v>
      </c>
      <c r="CC32" s="255">
        <v>0</v>
      </c>
      <c r="CD32" s="258">
        <v>0</v>
      </c>
      <c r="CE32" s="183"/>
      <c r="CF32" s="254">
        <v>0</v>
      </c>
      <c r="CG32" s="255">
        <v>0</v>
      </c>
      <c r="CH32" s="255">
        <v>0</v>
      </c>
      <c r="CI32" s="258">
        <v>0</v>
      </c>
      <c r="CJ32" s="183"/>
      <c r="CK32" s="182">
        <v>22</v>
      </c>
      <c r="CL32" s="184" t="str">
        <f t="shared" si="6"/>
        <v>11:18:43,9</v>
      </c>
      <c r="CM32" s="185" t="str">
        <f t="shared" si="7"/>
        <v>11:24:11,15</v>
      </c>
      <c r="CN32" s="186" t="str">
        <f>IF(ISBLANK($E33),"",N32&amp;":"&amp;O32&amp;":"&amp;P32&amp;","&amp;Q32)</f>
        <v>0:0:0,0</v>
      </c>
      <c r="CO32" s="183"/>
      <c r="CP32" s="184" t="str">
        <f t="shared" si="24"/>
        <v>::,</v>
      </c>
      <c r="CQ32" s="185" t="str">
        <f t="shared" si="25"/>
        <v>::,</v>
      </c>
      <c r="CR32" s="186" t="str">
        <f t="shared" si="26"/>
        <v>0:0:0,0</v>
      </c>
      <c r="CS32" s="183"/>
      <c r="CT32" s="184" t="str">
        <f t="shared" si="27"/>
        <v>::,</v>
      </c>
      <c r="CU32" s="185" t="str">
        <f t="shared" si="28"/>
        <v>::,</v>
      </c>
      <c r="CV32" s="186" t="str">
        <f t="shared" si="29"/>
        <v>0:0:0,0</v>
      </c>
      <c r="CW32" s="183"/>
      <c r="CX32" s="184" t="str">
        <f t="shared" si="30"/>
        <v>::,</v>
      </c>
      <c r="CY32" s="185" t="str">
        <f t="shared" si="31"/>
        <v>::,</v>
      </c>
      <c r="CZ32" s="186" t="str">
        <f t="shared" si="32"/>
        <v>0:0:0,0</v>
      </c>
      <c r="DA32" s="183"/>
      <c r="DB32" s="184" t="str">
        <f t="shared" si="33"/>
        <v>::,</v>
      </c>
      <c r="DC32" s="185" t="str">
        <f t="shared" si="34"/>
        <v>::,</v>
      </c>
      <c r="DD32" s="186" t="str">
        <f t="shared" si="35"/>
        <v>0:0:0,0</v>
      </c>
      <c r="DE32" s="183"/>
      <c r="DF32" s="184" t="str">
        <f t="shared" si="36"/>
        <v>0:0:0,0</v>
      </c>
      <c r="DG32" s="185" t="str">
        <f t="shared" si="37"/>
        <v>0:0:0,0</v>
      </c>
      <c r="DH32" s="186" t="str">
        <f t="shared" si="38"/>
        <v>0:0:0,0</v>
      </c>
      <c r="DI32" s="183"/>
      <c r="DJ32" s="187" t="str">
        <f t="shared" si="39"/>
        <v>0:0:0,0</v>
      </c>
    </row>
    <row r="33" spans="2:114">
      <c r="B33" s="274">
        <f>IF(ISBLANK($E34),"",VLOOKUP($E34,Teilnehmer!$B$4:$K$199,2,0))</f>
        <v>2</v>
      </c>
      <c r="C33" s="190">
        <f>IF(ISBLANK($E34),"",VLOOKUP($E34,Teilnehmer!$B$4:$K$199,3,0))</f>
        <v>9</v>
      </c>
      <c r="D33" s="181" t="str">
        <f>IF(ISBLANK($E33),"",VLOOKUP($E33,Teilnehmer!$B$4:$K$199,4,0))</f>
        <v>Spieß Jürgen</v>
      </c>
      <c r="E33" s="182">
        <v>23</v>
      </c>
      <c r="F33" s="257">
        <v>11</v>
      </c>
      <c r="G33" s="255">
        <v>19</v>
      </c>
      <c r="H33" s="255">
        <v>46</v>
      </c>
      <c r="I33" s="258">
        <v>16</v>
      </c>
      <c r="J33" s="257">
        <v>11</v>
      </c>
      <c r="K33" s="255">
        <v>25</v>
      </c>
      <c r="L33" s="255">
        <v>28</v>
      </c>
      <c r="M33" s="258">
        <v>82</v>
      </c>
      <c r="N33" s="257">
        <v>0</v>
      </c>
      <c r="O33" s="255">
        <v>0</v>
      </c>
      <c r="P33" s="255">
        <v>0</v>
      </c>
      <c r="Q33" s="258">
        <v>0</v>
      </c>
      <c r="R33" s="183"/>
      <c r="S33" s="306">
        <v>12</v>
      </c>
      <c r="T33" s="307">
        <v>14</v>
      </c>
      <c r="U33" s="307">
        <v>12</v>
      </c>
      <c r="V33" s="308">
        <v>70</v>
      </c>
      <c r="W33" s="309">
        <v>12</v>
      </c>
      <c r="X33" s="307">
        <v>17</v>
      </c>
      <c r="Y33" s="307">
        <v>57</v>
      </c>
      <c r="Z33" s="310">
        <v>85</v>
      </c>
      <c r="AA33" s="257">
        <v>0</v>
      </c>
      <c r="AB33" s="255">
        <v>0</v>
      </c>
      <c r="AC33" s="255">
        <v>0</v>
      </c>
      <c r="AD33" s="258">
        <v>0</v>
      </c>
      <c r="AE33" s="183"/>
      <c r="AF33" s="218"/>
      <c r="AG33" s="218"/>
      <c r="AH33" s="218"/>
      <c r="AI33" s="218"/>
      <c r="AJ33" s="218"/>
      <c r="AK33" s="218"/>
      <c r="AL33" s="218"/>
      <c r="AM33" s="218"/>
      <c r="AN33" s="257">
        <v>0</v>
      </c>
      <c r="AO33" s="255">
        <v>0</v>
      </c>
      <c r="AP33" s="255">
        <v>0</v>
      </c>
      <c r="AQ33" s="258">
        <v>0</v>
      </c>
      <c r="AR33" s="183"/>
      <c r="AS33" s="218"/>
      <c r="AT33" s="218"/>
      <c r="AU33" s="218"/>
      <c r="AV33" s="218"/>
      <c r="AW33" s="218"/>
      <c r="AX33" s="218"/>
      <c r="AY33" s="218"/>
      <c r="AZ33" s="218"/>
      <c r="BA33" s="257">
        <v>0</v>
      </c>
      <c r="BB33" s="255">
        <v>0</v>
      </c>
      <c r="BC33" s="255">
        <v>0</v>
      </c>
      <c r="BD33" s="258">
        <v>0</v>
      </c>
      <c r="BE33" s="183"/>
      <c r="BF33" s="218"/>
      <c r="BG33" s="218"/>
      <c r="BH33" s="218"/>
      <c r="BI33" s="218"/>
      <c r="BJ33" s="218"/>
      <c r="BK33" s="218"/>
      <c r="BL33" s="218"/>
      <c r="BM33" s="218"/>
      <c r="BN33" s="257">
        <v>0</v>
      </c>
      <c r="BO33" s="255">
        <v>0</v>
      </c>
      <c r="BP33" s="255">
        <v>0</v>
      </c>
      <c r="BQ33" s="258">
        <v>0</v>
      </c>
      <c r="BR33" s="183"/>
      <c r="BS33" s="254">
        <v>0</v>
      </c>
      <c r="BT33" s="255">
        <v>0</v>
      </c>
      <c r="BU33" s="255">
        <v>0</v>
      </c>
      <c r="BV33" s="256">
        <v>0</v>
      </c>
      <c r="BW33" s="257">
        <v>0</v>
      </c>
      <c r="BX33" s="255">
        <v>0</v>
      </c>
      <c r="BY33" s="255">
        <v>0</v>
      </c>
      <c r="BZ33" s="256">
        <v>0</v>
      </c>
      <c r="CA33" s="257">
        <v>0</v>
      </c>
      <c r="CB33" s="255">
        <v>0</v>
      </c>
      <c r="CC33" s="255">
        <v>0</v>
      </c>
      <c r="CD33" s="258">
        <v>0</v>
      </c>
      <c r="CE33" s="183"/>
      <c r="CF33" s="254">
        <v>0</v>
      </c>
      <c r="CG33" s="255">
        <v>0</v>
      </c>
      <c r="CH33" s="255">
        <v>0</v>
      </c>
      <c r="CI33" s="258">
        <v>0</v>
      </c>
      <c r="CJ33" s="183"/>
      <c r="CK33" s="182">
        <v>23</v>
      </c>
      <c r="CL33" s="184" t="str">
        <f t="shared" si="6"/>
        <v>11:19:46,16</v>
      </c>
      <c r="CM33" s="185" t="str">
        <f t="shared" si="7"/>
        <v>11:25:28,82</v>
      </c>
      <c r="CN33" s="186" t="str">
        <f>IF(ISBLANK($E34),"",N33&amp;":"&amp;O33&amp;":"&amp;P33&amp;","&amp;Q33)</f>
        <v>0:0:0,0</v>
      </c>
      <c r="CO33" s="183"/>
      <c r="CP33" s="184" t="str">
        <f t="shared" si="24"/>
        <v>12:14:12,70</v>
      </c>
      <c r="CQ33" s="185" t="str">
        <f t="shared" si="25"/>
        <v>12:17:57,85</v>
      </c>
      <c r="CR33" s="186" t="str">
        <f t="shared" si="26"/>
        <v>0:0:0,0</v>
      </c>
      <c r="CS33" s="183"/>
      <c r="CT33" s="184" t="str">
        <f t="shared" si="27"/>
        <v>::,</v>
      </c>
      <c r="CU33" s="185" t="str">
        <f t="shared" si="28"/>
        <v>::,</v>
      </c>
      <c r="CV33" s="186" t="str">
        <f t="shared" si="29"/>
        <v>0:0:0,0</v>
      </c>
      <c r="CW33" s="183"/>
      <c r="CX33" s="184" t="str">
        <f t="shared" si="30"/>
        <v>::,</v>
      </c>
      <c r="CY33" s="185" t="str">
        <f t="shared" si="31"/>
        <v>::,</v>
      </c>
      <c r="CZ33" s="186" t="str">
        <f t="shared" si="32"/>
        <v>0:0:0,0</v>
      </c>
      <c r="DA33" s="183"/>
      <c r="DB33" s="184" t="str">
        <f t="shared" si="33"/>
        <v>::,</v>
      </c>
      <c r="DC33" s="185" t="str">
        <f t="shared" si="34"/>
        <v>::,</v>
      </c>
      <c r="DD33" s="186" t="str">
        <f t="shared" si="35"/>
        <v>0:0:0,0</v>
      </c>
      <c r="DE33" s="183"/>
      <c r="DF33" s="184" t="str">
        <f t="shared" si="36"/>
        <v>0:0:0,0</v>
      </c>
      <c r="DG33" s="185" t="str">
        <f t="shared" si="37"/>
        <v>0:0:0,0</v>
      </c>
      <c r="DH33" s="186" t="str">
        <f t="shared" si="38"/>
        <v>0:0:0,0</v>
      </c>
      <c r="DI33" s="183"/>
      <c r="DJ33" s="187" t="str">
        <f t="shared" si="39"/>
        <v>0:0:0,0</v>
      </c>
    </row>
    <row r="34" spans="2:114">
      <c r="B34" s="274">
        <f>IF(ISBLANK($E35),"",VLOOKUP($E35,Teilnehmer!$B$4:$K$199,2,0))</f>
        <v>2</v>
      </c>
      <c r="C34" s="190">
        <f>IF(ISBLANK($E35),"",VLOOKUP($E35,Teilnehmer!$B$4:$K$199,3,0))</f>
        <v>9</v>
      </c>
      <c r="D34" s="181" t="str">
        <f>IF(ISBLANK($E34),"",VLOOKUP($E34,Teilnehmer!$B$4:$K$199,4,0))</f>
        <v>Böhringer Jochen</v>
      </c>
      <c r="E34" s="182">
        <v>24</v>
      </c>
      <c r="F34" s="257">
        <v>11</v>
      </c>
      <c r="G34" s="255">
        <v>21</v>
      </c>
      <c r="H34" s="255">
        <v>13</v>
      </c>
      <c r="I34" s="258">
        <v>80</v>
      </c>
      <c r="J34" s="257">
        <v>11</v>
      </c>
      <c r="K34" s="255">
        <v>26</v>
      </c>
      <c r="L34" s="255">
        <v>27</v>
      </c>
      <c r="M34" s="258">
        <v>5</v>
      </c>
      <c r="N34" s="257">
        <v>0</v>
      </c>
      <c r="O34" s="255">
        <v>0</v>
      </c>
      <c r="P34" s="255">
        <v>0</v>
      </c>
      <c r="Q34" s="258">
        <v>0</v>
      </c>
      <c r="R34" s="183"/>
      <c r="S34" s="254">
        <v>12</v>
      </c>
      <c r="T34" s="255">
        <v>14</v>
      </c>
      <c r="U34" s="255">
        <v>32</v>
      </c>
      <c r="V34" s="258">
        <v>21</v>
      </c>
      <c r="W34" s="257">
        <v>12</v>
      </c>
      <c r="X34" s="255">
        <v>20</v>
      </c>
      <c r="Y34" s="255">
        <v>56</v>
      </c>
      <c r="Z34" s="256">
        <v>81</v>
      </c>
      <c r="AA34" s="257">
        <v>0</v>
      </c>
      <c r="AB34" s="255">
        <v>0</v>
      </c>
      <c r="AC34" s="255">
        <v>0</v>
      </c>
      <c r="AD34" s="258">
        <v>0</v>
      </c>
      <c r="AE34" s="183"/>
      <c r="AF34" s="254">
        <v>13</v>
      </c>
      <c r="AG34" s="255">
        <v>37</v>
      </c>
      <c r="AH34" s="255">
        <v>42</v>
      </c>
      <c r="AI34" s="256">
        <v>51</v>
      </c>
      <c r="AJ34" s="257">
        <v>13</v>
      </c>
      <c r="AK34" s="255">
        <v>42</v>
      </c>
      <c r="AL34" s="255">
        <v>54</v>
      </c>
      <c r="AM34" s="256">
        <v>53</v>
      </c>
      <c r="AN34" s="257">
        <v>0</v>
      </c>
      <c r="AO34" s="255">
        <v>0</v>
      </c>
      <c r="AP34" s="255">
        <v>0</v>
      </c>
      <c r="AQ34" s="258">
        <v>0</v>
      </c>
      <c r="AR34" s="183"/>
      <c r="AS34" s="218"/>
      <c r="AT34" s="218"/>
      <c r="AU34" s="218"/>
      <c r="AV34" s="218"/>
      <c r="AW34" s="218"/>
      <c r="AX34" s="218"/>
      <c r="AY34" s="218"/>
      <c r="AZ34" s="218"/>
      <c r="BA34" s="257">
        <v>0</v>
      </c>
      <c r="BB34" s="255">
        <v>0</v>
      </c>
      <c r="BC34" s="255">
        <v>0</v>
      </c>
      <c r="BD34" s="258">
        <v>0</v>
      </c>
      <c r="BE34" s="183"/>
      <c r="BF34" s="218"/>
      <c r="BG34" s="218"/>
      <c r="BH34" s="218"/>
      <c r="BI34" s="218"/>
      <c r="BJ34" s="218"/>
      <c r="BK34" s="218"/>
      <c r="BL34" s="218"/>
      <c r="BM34" s="218"/>
      <c r="BN34" s="257">
        <v>0</v>
      </c>
      <c r="BO34" s="255">
        <v>0</v>
      </c>
      <c r="BP34" s="255">
        <v>0</v>
      </c>
      <c r="BQ34" s="258">
        <v>0</v>
      </c>
      <c r="BR34" s="183"/>
      <c r="BS34" s="254">
        <v>0</v>
      </c>
      <c r="BT34" s="255">
        <v>0</v>
      </c>
      <c r="BU34" s="255">
        <v>0</v>
      </c>
      <c r="BV34" s="256">
        <v>0</v>
      </c>
      <c r="BW34" s="257">
        <v>0</v>
      </c>
      <c r="BX34" s="255">
        <v>0</v>
      </c>
      <c r="BY34" s="255">
        <v>0</v>
      </c>
      <c r="BZ34" s="256">
        <v>0</v>
      </c>
      <c r="CA34" s="257">
        <v>0</v>
      </c>
      <c r="CB34" s="255">
        <v>0</v>
      </c>
      <c r="CC34" s="255">
        <v>0</v>
      </c>
      <c r="CD34" s="258">
        <v>0</v>
      </c>
      <c r="CE34" s="183"/>
      <c r="CF34" s="254">
        <v>0</v>
      </c>
      <c r="CG34" s="255">
        <v>0</v>
      </c>
      <c r="CH34" s="255">
        <v>0</v>
      </c>
      <c r="CI34" s="258">
        <v>0</v>
      </c>
      <c r="CJ34" s="183"/>
      <c r="CK34" s="182">
        <v>24</v>
      </c>
      <c r="CL34" s="184" t="str">
        <f t="shared" si="6"/>
        <v>11:21:13,80</v>
      </c>
      <c r="CM34" s="185" t="str">
        <f t="shared" si="7"/>
        <v>11:26:27,5</v>
      </c>
      <c r="CN34" s="186" t="str">
        <f>IF(ISBLANK($E35),"",N34&amp;":"&amp;O34&amp;":"&amp;P34&amp;","&amp;Q34)</f>
        <v>0:0:0,0</v>
      </c>
      <c r="CO34" s="183"/>
      <c r="CP34" s="184" t="str">
        <f t="shared" si="24"/>
        <v>12:14:32,21</v>
      </c>
      <c r="CQ34" s="185" t="str">
        <f t="shared" si="25"/>
        <v>12:20:56,81</v>
      </c>
      <c r="CR34" s="186" t="str">
        <f t="shared" si="26"/>
        <v>0:0:0,0</v>
      </c>
      <c r="CS34" s="183"/>
      <c r="CT34" s="184" t="str">
        <f t="shared" si="27"/>
        <v>13:37:42,51</v>
      </c>
      <c r="CU34" s="185" t="str">
        <f t="shared" si="28"/>
        <v>13:42:54,53</v>
      </c>
      <c r="CV34" s="186" t="str">
        <f t="shared" si="29"/>
        <v>0:0:0,0</v>
      </c>
      <c r="CW34" s="183"/>
      <c r="CX34" s="184" t="str">
        <f t="shared" si="30"/>
        <v>::,</v>
      </c>
      <c r="CY34" s="185" t="str">
        <f t="shared" si="31"/>
        <v>::,</v>
      </c>
      <c r="CZ34" s="186" t="str">
        <f t="shared" si="32"/>
        <v>0:0:0,0</v>
      </c>
      <c r="DA34" s="183"/>
      <c r="DB34" s="184" t="str">
        <f t="shared" si="33"/>
        <v>::,</v>
      </c>
      <c r="DC34" s="185" t="str">
        <f t="shared" si="34"/>
        <v>::,</v>
      </c>
      <c r="DD34" s="186" t="str">
        <f t="shared" si="35"/>
        <v>0:0:0,0</v>
      </c>
      <c r="DE34" s="183"/>
      <c r="DF34" s="184" t="str">
        <f t="shared" si="36"/>
        <v>0:0:0,0</v>
      </c>
      <c r="DG34" s="185" t="str">
        <f t="shared" si="37"/>
        <v>0:0:0,0</v>
      </c>
      <c r="DH34" s="186" t="str">
        <f t="shared" si="38"/>
        <v>0:0:0,0</v>
      </c>
      <c r="DI34" s="183"/>
      <c r="DJ34" s="187" t="str">
        <f t="shared" si="39"/>
        <v>0:0:0,0</v>
      </c>
    </row>
    <row r="35" spans="2:114">
      <c r="B35" s="274">
        <f>IF(ISBLANK($E36),"",VLOOKUP($E36,Teilnehmer!$B$4:$K$199,2,0))</f>
        <v>2</v>
      </c>
      <c r="C35" s="190">
        <f>IF(ISBLANK($E36),"",VLOOKUP($E36,Teilnehmer!$B$4:$K$199,3,0))</f>
        <v>9</v>
      </c>
      <c r="D35" s="181" t="str">
        <f>IF(ISBLANK($E35),"",VLOOKUP($E35,Teilnehmer!$B$4:$K$199,4,0))</f>
        <v>Wünsch Oliver</v>
      </c>
      <c r="E35" s="182">
        <v>25</v>
      </c>
      <c r="F35" s="257">
        <v>11</v>
      </c>
      <c r="G35" s="255">
        <v>21</v>
      </c>
      <c r="H35" s="255">
        <v>47</v>
      </c>
      <c r="I35" s="258">
        <v>14</v>
      </c>
      <c r="J35" s="257">
        <v>11</v>
      </c>
      <c r="K35" s="255">
        <v>27</v>
      </c>
      <c r="L35" s="255">
        <v>7</v>
      </c>
      <c r="M35" s="258">
        <v>98</v>
      </c>
      <c r="N35" s="257">
        <v>0</v>
      </c>
      <c r="O35" s="255">
        <v>0</v>
      </c>
      <c r="P35" s="255">
        <v>0</v>
      </c>
      <c r="Q35" s="258">
        <v>0</v>
      </c>
      <c r="R35" s="183"/>
      <c r="S35" s="254">
        <v>12</v>
      </c>
      <c r="T35" s="255">
        <v>20</v>
      </c>
      <c r="U35" s="255">
        <v>0</v>
      </c>
      <c r="V35" s="258">
        <v>77</v>
      </c>
      <c r="W35" s="257">
        <v>12</v>
      </c>
      <c r="X35" s="255">
        <v>26</v>
      </c>
      <c r="Y35" s="255">
        <v>13</v>
      </c>
      <c r="Z35" s="256">
        <v>83</v>
      </c>
      <c r="AA35" s="257">
        <v>0</v>
      </c>
      <c r="AB35" s="255">
        <v>0</v>
      </c>
      <c r="AC35" s="255">
        <v>0</v>
      </c>
      <c r="AD35" s="258">
        <v>0</v>
      </c>
      <c r="AE35" s="183"/>
      <c r="AF35" s="254">
        <v>13</v>
      </c>
      <c r="AG35" s="255">
        <v>38</v>
      </c>
      <c r="AH35" s="255">
        <v>11</v>
      </c>
      <c r="AI35" s="256">
        <v>17</v>
      </c>
      <c r="AJ35" s="257">
        <v>13</v>
      </c>
      <c r="AK35" s="255">
        <v>43</v>
      </c>
      <c r="AL35" s="255">
        <v>27</v>
      </c>
      <c r="AM35" s="256">
        <v>40</v>
      </c>
      <c r="AN35" s="257">
        <v>0</v>
      </c>
      <c r="AO35" s="255">
        <v>0</v>
      </c>
      <c r="AP35" s="255">
        <v>0</v>
      </c>
      <c r="AQ35" s="258">
        <v>0</v>
      </c>
      <c r="AR35" s="183"/>
      <c r="AS35" s="254">
        <v>14</v>
      </c>
      <c r="AT35" s="255">
        <v>51</v>
      </c>
      <c r="AU35" s="255">
        <v>35</v>
      </c>
      <c r="AV35" s="256">
        <v>73</v>
      </c>
      <c r="AW35" s="257">
        <v>14</v>
      </c>
      <c r="AX35" s="255">
        <v>57</v>
      </c>
      <c r="AY35" s="255">
        <v>39</v>
      </c>
      <c r="AZ35" s="256">
        <v>21</v>
      </c>
      <c r="BA35" s="257">
        <v>0</v>
      </c>
      <c r="BB35" s="255">
        <v>0</v>
      </c>
      <c r="BC35" s="255">
        <v>0</v>
      </c>
      <c r="BD35" s="258">
        <v>0</v>
      </c>
      <c r="BE35" s="183"/>
      <c r="BF35" s="254">
        <v>15</v>
      </c>
      <c r="BG35" s="255">
        <v>24</v>
      </c>
      <c r="BH35" s="255">
        <v>0</v>
      </c>
      <c r="BI35" s="256">
        <v>97</v>
      </c>
      <c r="BJ35" s="257">
        <v>15</v>
      </c>
      <c r="BK35" s="255">
        <v>29</v>
      </c>
      <c r="BL35" s="255">
        <v>19</v>
      </c>
      <c r="BM35" s="256">
        <v>90</v>
      </c>
      <c r="BN35" s="257">
        <v>0</v>
      </c>
      <c r="BO35" s="255">
        <v>0</v>
      </c>
      <c r="BP35" s="255">
        <v>30</v>
      </c>
      <c r="BQ35" s="258">
        <v>0</v>
      </c>
      <c r="BR35" s="183"/>
      <c r="BS35" s="254">
        <v>0</v>
      </c>
      <c r="BT35" s="255">
        <v>0</v>
      </c>
      <c r="BU35" s="255">
        <v>0</v>
      </c>
      <c r="BV35" s="256">
        <v>0</v>
      </c>
      <c r="BW35" s="257">
        <v>0</v>
      </c>
      <c r="BX35" s="255">
        <v>0</v>
      </c>
      <c r="BY35" s="255">
        <v>0</v>
      </c>
      <c r="BZ35" s="256">
        <v>0</v>
      </c>
      <c r="CA35" s="257">
        <v>0</v>
      </c>
      <c r="CB35" s="255">
        <v>0</v>
      </c>
      <c r="CC35" s="255">
        <v>0</v>
      </c>
      <c r="CD35" s="258">
        <v>0</v>
      </c>
      <c r="CE35" s="183"/>
      <c r="CF35" s="254">
        <v>0</v>
      </c>
      <c r="CG35" s="255">
        <v>0</v>
      </c>
      <c r="CH35" s="255">
        <v>0</v>
      </c>
      <c r="CI35" s="258">
        <v>0</v>
      </c>
      <c r="CJ35" s="183"/>
      <c r="CK35" s="182">
        <v>25</v>
      </c>
      <c r="CL35" s="184" t="str">
        <f t="shared" si="6"/>
        <v>11:21:47,14</v>
      </c>
      <c r="CM35" s="185" t="str">
        <f t="shared" si="7"/>
        <v>11:27:7,98</v>
      </c>
      <c r="CN35" s="186" t="str">
        <f>IF(ISBLANK($E36),"",N35&amp;":"&amp;O35&amp;":"&amp;P35&amp;","&amp;Q35)</f>
        <v>0:0:0,0</v>
      </c>
      <c r="CO35" s="183"/>
      <c r="CP35" s="184" t="str">
        <f t="shared" si="24"/>
        <v>12:20:0,77</v>
      </c>
      <c r="CQ35" s="185" t="str">
        <f t="shared" si="25"/>
        <v>12:26:13,83</v>
      </c>
      <c r="CR35" s="186" t="str">
        <f t="shared" si="26"/>
        <v>0:0:0,0</v>
      </c>
      <c r="CS35" s="183"/>
      <c r="CT35" s="184" t="str">
        <f t="shared" si="27"/>
        <v>13:38:11,17</v>
      </c>
      <c r="CU35" s="185" t="str">
        <f t="shared" si="28"/>
        <v>13:43:27,40</v>
      </c>
      <c r="CV35" s="186" t="str">
        <f t="shared" si="29"/>
        <v>0:0:0,0</v>
      </c>
      <c r="CW35" s="183"/>
      <c r="CX35" s="184" t="str">
        <f t="shared" si="30"/>
        <v>14:51:35,73</v>
      </c>
      <c r="CY35" s="185" t="str">
        <f t="shared" si="31"/>
        <v>14:57:39,21</v>
      </c>
      <c r="CZ35" s="186" t="str">
        <f t="shared" si="32"/>
        <v>0:0:0,0</v>
      </c>
      <c r="DA35" s="183"/>
      <c r="DB35" s="184" t="str">
        <f t="shared" si="33"/>
        <v>15:24:0,97</v>
      </c>
      <c r="DC35" s="185" t="str">
        <f t="shared" si="34"/>
        <v>15:29:19,90</v>
      </c>
      <c r="DD35" s="186" t="str">
        <f t="shared" si="35"/>
        <v>0:0:30,0</v>
      </c>
      <c r="DE35" s="183"/>
      <c r="DF35" s="184" t="str">
        <f t="shared" si="36"/>
        <v>0:0:0,0</v>
      </c>
      <c r="DG35" s="185" t="str">
        <f t="shared" si="37"/>
        <v>0:0:0,0</v>
      </c>
      <c r="DH35" s="186" t="str">
        <f t="shared" si="38"/>
        <v>0:0:0,0</v>
      </c>
      <c r="DI35" s="183"/>
      <c r="DJ35" s="187" t="str">
        <f t="shared" si="39"/>
        <v>0:0:0,0</v>
      </c>
    </row>
    <row r="36" spans="2:114">
      <c r="B36" s="274">
        <f>IF(ISBLANK($E37),"",VLOOKUP($E37,Teilnehmer!$B$4:$K$199,2,0))</f>
        <v>2</v>
      </c>
      <c r="C36" s="190">
        <f>IF(ISBLANK($E37),"",VLOOKUP($E37,Teilnehmer!$B$4:$K$199,3,0))</f>
        <v>9</v>
      </c>
      <c r="D36" s="181" t="str">
        <f>IF(ISBLANK($E36),"",VLOOKUP($E36,Teilnehmer!$B$4:$K$199,4,0))</f>
        <v>Hammel Daniel</v>
      </c>
      <c r="E36" s="182">
        <v>26</v>
      </c>
      <c r="F36" s="257">
        <v>11</v>
      </c>
      <c r="G36" s="255">
        <v>23</v>
      </c>
      <c r="H36" s="255">
        <v>32</v>
      </c>
      <c r="I36" s="258">
        <v>37</v>
      </c>
      <c r="J36" s="257">
        <v>11</v>
      </c>
      <c r="K36" s="255">
        <v>28</v>
      </c>
      <c r="L36" s="255">
        <v>41</v>
      </c>
      <c r="M36" s="258">
        <v>67</v>
      </c>
      <c r="N36" s="257">
        <v>0</v>
      </c>
      <c r="O36" s="255">
        <v>0</v>
      </c>
      <c r="P36" s="255">
        <v>0</v>
      </c>
      <c r="Q36" s="258">
        <v>0</v>
      </c>
      <c r="R36" s="183"/>
      <c r="S36" s="254">
        <v>12</v>
      </c>
      <c r="T36" s="255">
        <v>20</v>
      </c>
      <c r="U36" s="255">
        <v>19</v>
      </c>
      <c r="V36" s="258">
        <v>28</v>
      </c>
      <c r="W36" s="257">
        <v>12</v>
      </c>
      <c r="X36" s="255">
        <v>26</v>
      </c>
      <c r="Y36" s="255">
        <v>27</v>
      </c>
      <c r="Z36" s="256">
        <v>8</v>
      </c>
      <c r="AA36" s="257">
        <v>0</v>
      </c>
      <c r="AB36" s="255">
        <v>0</v>
      </c>
      <c r="AC36" s="255">
        <v>0</v>
      </c>
      <c r="AD36" s="258">
        <v>0</v>
      </c>
      <c r="AE36" s="183"/>
      <c r="AF36" s="254">
        <v>13</v>
      </c>
      <c r="AG36" s="255">
        <v>41</v>
      </c>
      <c r="AH36" s="255">
        <v>18</v>
      </c>
      <c r="AI36" s="256">
        <v>41</v>
      </c>
      <c r="AJ36" s="257">
        <v>13</v>
      </c>
      <c r="AK36" s="255">
        <v>46</v>
      </c>
      <c r="AL36" s="255">
        <v>27</v>
      </c>
      <c r="AM36" s="256">
        <v>48</v>
      </c>
      <c r="AN36" s="257">
        <v>0</v>
      </c>
      <c r="AO36" s="255">
        <v>0</v>
      </c>
      <c r="AP36" s="255">
        <v>0</v>
      </c>
      <c r="AQ36" s="258">
        <v>0</v>
      </c>
      <c r="AR36" s="183"/>
      <c r="AS36" s="254">
        <v>14</v>
      </c>
      <c r="AT36" s="255">
        <v>55</v>
      </c>
      <c r="AU36" s="255">
        <v>33</v>
      </c>
      <c r="AV36" s="256">
        <v>18</v>
      </c>
      <c r="AW36" s="257">
        <v>15</v>
      </c>
      <c r="AX36" s="255">
        <v>1</v>
      </c>
      <c r="AY36" s="255">
        <v>33</v>
      </c>
      <c r="AZ36" s="256">
        <v>62</v>
      </c>
      <c r="BA36" s="257">
        <v>0</v>
      </c>
      <c r="BB36" s="255">
        <v>0</v>
      </c>
      <c r="BC36" s="255">
        <v>0</v>
      </c>
      <c r="BD36" s="258">
        <v>0</v>
      </c>
      <c r="BE36" s="183"/>
      <c r="BF36" s="254">
        <v>15</v>
      </c>
      <c r="BG36" s="255">
        <v>27</v>
      </c>
      <c r="BH36" s="255">
        <v>6</v>
      </c>
      <c r="BI36" s="256">
        <v>67</v>
      </c>
      <c r="BJ36" s="257">
        <v>15</v>
      </c>
      <c r="BK36" s="255">
        <v>32</v>
      </c>
      <c r="BL36" s="255">
        <v>18</v>
      </c>
      <c r="BM36" s="256">
        <v>37</v>
      </c>
      <c r="BN36" s="257">
        <v>0</v>
      </c>
      <c r="BO36" s="255">
        <v>0</v>
      </c>
      <c r="BP36" s="255">
        <v>0</v>
      </c>
      <c r="BQ36" s="258">
        <v>0</v>
      </c>
      <c r="BR36" s="183"/>
      <c r="BS36" s="254">
        <v>0</v>
      </c>
      <c r="BT36" s="255">
        <v>0</v>
      </c>
      <c r="BU36" s="255">
        <v>0</v>
      </c>
      <c r="BV36" s="256">
        <v>0</v>
      </c>
      <c r="BW36" s="257">
        <v>0</v>
      </c>
      <c r="BX36" s="255">
        <v>0</v>
      </c>
      <c r="BY36" s="255">
        <v>0</v>
      </c>
      <c r="BZ36" s="256">
        <v>0</v>
      </c>
      <c r="CA36" s="257">
        <v>0</v>
      </c>
      <c r="CB36" s="255">
        <v>0</v>
      </c>
      <c r="CC36" s="255">
        <v>0</v>
      </c>
      <c r="CD36" s="258">
        <v>0</v>
      </c>
      <c r="CE36" s="183"/>
      <c r="CF36" s="254">
        <v>0</v>
      </c>
      <c r="CG36" s="255">
        <v>0</v>
      </c>
      <c r="CH36" s="255">
        <v>0</v>
      </c>
      <c r="CI36" s="258">
        <v>0</v>
      </c>
      <c r="CJ36" s="183"/>
      <c r="CK36" s="182">
        <v>26</v>
      </c>
      <c r="CL36" s="184" t="str">
        <f t="shared" si="6"/>
        <v>11:23:32,37</v>
      </c>
      <c r="CM36" s="185" t="str">
        <f t="shared" si="7"/>
        <v>11:28:41,67</v>
      </c>
      <c r="CN36" s="186" t="str">
        <f>IF(ISBLANK($E37),"",N36&amp;":"&amp;O36&amp;":"&amp;P36&amp;","&amp;Q36)</f>
        <v>0:0:0,0</v>
      </c>
      <c r="CO36" s="183"/>
      <c r="CP36" s="184" t="str">
        <f t="shared" si="24"/>
        <v>12:20:19,28</v>
      </c>
      <c r="CQ36" s="185" t="str">
        <f t="shared" si="25"/>
        <v>12:26:27,8</v>
      </c>
      <c r="CR36" s="186" t="str">
        <f t="shared" si="26"/>
        <v>0:0:0,0</v>
      </c>
      <c r="CS36" s="183"/>
      <c r="CT36" s="184" t="str">
        <f t="shared" si="27"/>
        <v>13:41:18,41</v>
      </c>
      <c r="CU36" s="185" t="str">
        <f t="shared" si="28"/>
        <v>13:46:27,48</v>
      </c>
      <c r="CV36" s="186" t="str">
        <f t="shared" si="29"/>
        <v>0:0:0,0</v>
      </c>
      <c r="CW36" s="183"/>
      <c r="CX36" s="184" t="str">
        <f t="shared" si="30"/>
        <v>14:55:33,18</v>
      </c>
      <c r="CY36" s="185" t="str">
        <f t="shared" si="31"/>
        <v>15:1:33,62</v>
      </c>
      <c r="CZ36" s="186" t="str">
        <f t="shared" si="32"/>
        <v>0:0:0,0</v>
      </c>
      <c r="DA36" s="183"/>
      <c r="DB36" s="184" t="str">
        <f t="shared" si="33"/>
        <v>15:27:6,67</v>
      </c>
      <c r="DC36" s="185" t="str">
        <f t="shared" si="34"/>
        <v>15:32:18,37</v>
      </c>
      <c r="DD36" s="186" t="str">
        <f t="shared" si="35"/>
        <v>0:0:0,0</v>
      </c>
      <c r="DE36" s="183"/>
      <c r="DF36" s="184" t="str">
        <f t="shared" si="36"/>
        <v>0:0:0,0</v>
      </c>
      <c r="DG36" s="185" t="str">
        <f t="shared" si="37"/>
        <v>0:0:0,0</v>
      </c>
      <c r="DH36" s="186" t="str">
        <f t="shared" si="38"/>
        <v>0:0:0,0</v>
      </c>
      <c r="DI36" s="183"/>
      <c r="DJ36" s="187" t="str">
        <f t="shared" si="39"/>
        <v>0:0:0,0</v>
      </c>
    </row>
    <row r="37" spans="2:114">
      <c r="B37" s="274">
        <f>IF(ISBLANK($E38),"",VLOOKUP($E38,Teilnehmer!$B$4:$K$199,2,0))</f>
        <v>2</v>
      </c>
      <c r="C37" s="190">
        <f>IF(ISBLANK($E38),"",VLOOKUP($E38,Teilnehmer!$B$4:$K$199,3,0))</f>
        <v>9</v>
      </c>
      <c r="D37" s="181" t="str">
        <f>IF(ISBLANK($E37),"",VLOOKUP($E37,Teilnehmer!$B$4:$K$199,4,0))</f>
        <v>Kögl Hans</v>
      </c>
      <c r="E37" s="182">
        <v>27</v>
      </c>
      <c r="F37" s="257">
        <v>11</v>
      </c>
      <c r="G37" s="255">
        <v>24</v>
      </c>
      <c r="H37" s="255">
        <v>35</v>
      </c>
      <c r="I37" s="258">
        <v>59</v>
      </c>
      <c r="J37" s="257">
        <v>11</v>
      </c>
      <c r="K37" s="255">
        <v>30</v>
      </c>
      <c r="L37" s="255">
        <v>34</v>
      </c>
      <c r="M37" s="258">
        <v>60</v>
      </c>
      <c r="N37" s="257">
        <v>0</v>
      </c>
      <c r="O37" s="255">
        <v>0</v>
      </c>
      <c r="P37" s="255">
        <v>0</v>
      </c>
      <c r="Q37" s="258">
        <v>0</v>
      </c>
      <c r="R37" s="183"/>
      <c r="S37" s="254">
        <v>12</v>
      </c>
      <c r="T37" s="255">
        <v>20</v>
      </c>
      <c r="U37" s="255">
        <v>39</v>
      </c>
      <c r="V37" s="258">
        <v>46</v>
      </c>
      <c r="W37" s="257">
        <v>12</v>
      </c>
      <c r="X37" s="255">
        <v>27</v>
      </c>
      <c r="Y37" s="255">
        <v>46</v>
      </c>
      <c r="Z37" s="256">
        <v>55</v>
      </c>
      <c r="AA37" s="257">
        <v>0</v>
      </c>
      <c r="AB37" s="255">
        <v>0</v>
      </c>
      <c r="AC37" s="255">
        <v>0</v>
      </c>
      <c r="AD37" s="258">
        <v>0</v>
      </c>
      <c r="AE37" s="183"/>
      <c r="AF37" s="218"/>
      <c r="AG37" s="218"/>
      <c r="AH37" s="218"/>
      <c r="AI37" s="218"/>
      <c r="AJ37" s="218"/>
      <c r="AK37" s="218"/>
      <c r="AL37" s="218"/>
      <c r="AM37" s="218"/>
      <c r="AN37" s="257">
        <v>0</v>
      </c>
      <c r="AO37" s="255">
        <v>0</v>
      </c>
      <c r="AP37" s="255">
        <v>0</v>
      </c>
      <c r="AQ37" s="258">
        <v>0</v>
      </c>
      <c r="AR37" s="183"/>
      <c r="AS37" s="218"/>
      <c r="AT37" s="218"/>
      <c r="AU37" s="218"/>
      <c r="AV37" s="218"/>
      <c r="AW37" s="218"/>
      <c r="AX37" s="218"/>
      <c r="AY37" s="218"/>
      <c r="AZ37" s="218"/>
      <c r="BA37" s="257">
        <v>0</v>
      </c>
      <c r="BB37" s="255">
        <v>0</v>
      </c>
      <c r="BC37" s="255">
        <v>0</v>
      </c>
      <c r="BD37" s="258">
        <v>0</v>
      </c>
      <c r="BE37" s="183"/>
      <c r="BF37" s="218"/>
      <c r="BG37" s="218"/>
      <c r="BH37" s="218"/>
      <c r="BI37" s="218"/>
      <c r="BJ37" s="218"/>
      <c r="BK37" s="218"/>
      <c r="BL37" s="218"/>
      <c r="BM37" s="218"/>
      <c r="BN37" s="257">
        <v>0</v>
      </c>
      <c r="BO37" s="255">
        <v>0</v>
      </c>
      <c r="BP37" s="255">
        <v>0</v>
      </c>
      <c r="BQ37" s="258">
        <v>0</v>
      </c>
      <c r="BR37" s="183"/>
      <c r="BS37" s="254">
        <v>0</v>
      </c>
      <c r="BT37" s="255">
        <v>0</v>
      </c>
      <c r="BU37" s="255">
        <v>0</v>
      </c>
      <c r="BV37" s="256">
        <v>0</v>
      </c>
      <c r="BW37" s="257">
        <v>0</v>
      </c>
      <c r="BX37" s="255">
        <v>0</v>
      </c>
      <c r="BY37" s="255">
        <v>0</v>
      </c>
      <c r="BZ37" s="256">
        <v>0</v>
      </c>
      <c r="CA37" s="257">
        <v>0</v>
      </c>
      <c r="CB37" s="255">
        <v>0</v>
      </c>
      <c r="CC37" s="255">
        <v>0</v>
      </c>
      <c r="CD37" s="258">
        <v>0</v>
      </c>
      <c r="CE37" s="183"/>
      <c r="CF37" s="254">
        <v>0</v>
      </c>
      <c r="CG37" s="255">
        <v>0</v>
      </c>
      <c r="CH37" s="255">
        <v>0</v>
      </c>
      <c r="CI37" s="258">
        <v>0</v>
      </c>
      <c r="CJ37" s="183"/>
      <c r="CK37" s="182">
        <v>27</v>
      </c>
      <c r="CL37" s="184" t="str">
        <f t="shared" si="6"/>
        <v>11:24:35,59</v>
      </c>
      <c r="CM37" s="185" t="str">
        <f t="shared" si="7"/>
        <v>11:30:34,60</v>
      </c>
      <c r="CN37" s="186" t="str">
        <f>IF(ISBLANK($E38),"",N37&amp;":"&amp;O37&amp;":"&amp;P37&amp;","&amp;Q37)</f>
        <v>0:0:0,0</v>
      </c>
      <c r="CO37" s="183"/>
      <c r="CP37" s="184" t="str">
        <f t="shared" si="24"/>
        <v>12:20:39,46</v>
      </c>
      <c r="CQ37" s="185" t="str">
        <f t="shared" si="25"/>
        <v>12:27:46,55</v>
      </c>
      <c r="CR37" s="186" t="str">
        <f t="shared" si="26"/>
        <v>0:0:0,0</v>
      </c>
      <c r="CS37" s="183"/>
      <c r="CT37" s="184" t="str">
        <f t="shared" si="27"/>
        <v>::,</v>
      </c>
      <c r="CU37" s="185" t="str">
        <f t="shared" si="28"/>
        <v>::,</v>
      </c>
      <c r="CV37" s="186" t="str">
        <f t="shared" si="29"/>
        <v>0:0:0,0</v>
      </c>
      <c r="CW37" s="183"/>
      <c r="CX37" s="184" t="str">
        <f t="shared" si="30"/>
        <v>::,</v>
      </c>
      <c r="CY37" s="185" t="str">
        <f t="shared" si="31"/>
        <v>::,</v>
      </c>
      <c r="CZ37" s="186" t="str">
        <f t="shared" si="32"/>
        <v>0:0:0,0</v>
      </c>
      <c r="DA37" s="183"/>
      <c r="DB37" s="184" t="str">
        <f t="shared" si="33"/>
        <v>::,</v>
      </c>
      <c r="DC37" s="185" t="str">
        <f t="shared" si="34"/>
        <v>::,</v>
      </c>
      <c r="DD37" s="186" t="str">
        <f t="shared" si="35"/>
        <v>0:0:0,0</v>
      </c>
      <c r="DE37" s="183"/>
      <c r="DF37" s="184" t="str">
        <f t="shared" si="36"/>
        <v>0:0:0,0</v>
      </c>
      <c r="DG37" s="185" t="str">
        <f t="shared" si="37"/>
        <v>0:0:0,0</v>
      </c>
      <c r="DH37" s="186" t="str">
        <f t="shared" si="38"/>
        <v>0:0:0,0</v>
      </c>
      <c r="DI37" s="183"/>
      <c r="DJ37" s="187" t="str">
        <f t="shared" si="39"/>
        <v>0:0:0,0</v>
      </c>
    </row>
    <row r="38" spans="2:114">
      <c r="B38" s="274">
        <f>IF(ISBLANK($E39),"",VLOOKUP($E39,Teilnehmer!$B$4:$K$199,2,0))</f>
        <v>2</v>
      </c>
      <c r="C38" s="190">
        <f>IF(ISBLANK($E39),"",VLOOKUP($E39,Teilnehmer!$B$4:$K$199,3,0))</f>
        <v>9</v>
      </c>
      <c r="D38" s="181" t="str">
        <f>IF(ISBLANK($E38),"",VLOOKUP($E38,Teilnehmer!$B$4:$K$199,4,0))</f>
        <v>Teves Daniel</v>
      </c>
      <c r="E38" s="182">
        <v>28</v>
      </c>
      <c r="F38" s="257">
        <v>11</v>
      </c>
      <c r="G38" s="255">
        <v>26</v>
      </c>
      <c r="H38" s="255">
        <v>13</v>
      </c>
      <c r="I38" s="258">
        <v>42</v>
      </c>
      <c r="J38" s="257">
        <v>11</v>
      </c>
      <c r="K38" s="255">
        <v>31</v>
      </c>
      <c r="L38" s="255">
        <v>48</v>
      </c>
      <c r="M38" s="258">
        <v>41</v>
      </c>
      <c r="N38" s="257">
        <v>0</v>
      </c>
      <c r="O38" s="255">
        <v>0</v>
      </c>
      <c r="P38" s="255">
        <v>30</v>
      </c>
      <c r="Q38" s="258">
        <v>0</v>
      </c>
      <c r="R38" s="183"/>
      <c r="S38" s="254">
        <v>12</v>
      </c>
      <c r="T38" s="255">
        <v>26</v>
      </c>
      <c r="U38" s="255">
        <v>8</v>
      </c>
      <c r="V38" s="258">
        <v>74</v>
      </c>
      <c r="W38" s="257">
        <v>12</v>
      </c>
      <c r="X38" s="255">
        <v>32</v>
      </c>
      <c r="Y38" s="255">
        <v>32</v>
      </c>
      <c r="Z38" s="256">
        <v>0</v>
      </c>
      <c r="AA38" s="257">
        <v>0</v>
      </c>
      <c r="AB38" s="255">
        <v>0</v>
      </c>
      <c r="AC38" s="255">
        <v>0</v>
      </c>
      <c r="AD38" s="258">
        <v>0</v>
      </c>
      <c r="AE38" s="183"/>
      <c r="AF38" s="254">
        <v>13</v>
      </c>
      <c r="AG38" s="255">
        <v>41</v>
      </c>
      <c r="AH38" s="255">
        <v>59</v>
      </c>
      <c r="AI38" s="256">
        <v>23</v>
      </c>
      <c r="AJ38" s="257">
        <v>13</v>
      </c>
      <c r="AK38" s="255">
        <v>47</v>
      </c>
      <c r="AL38" s="255">
        <v>33</v>
      </c>
      <c r="AM38" s="256">
        <v>2</v>
      </c>
      <c r="AN38" s="257">
        <v>0</v>
      </c>
      <c r="AO38" s="255">
        <v>0</v>
      </c>
      <c r="AP38" s="255">
        <v>0</v>
      </c>
      <c r="AQ38" s="258">
        <v>0</v>
      </c>
      <c r="AR38" s="183"/>
      <c r="AS38" s="254">
        <v>14</v>
      </c>
      <c r="AT38" s="255">
        <v>56</v>
      </c>
      <c r="AU38" s="255">
        <v>0</v>
      </c>
      <c r="AV38" s="256">
        <v>88</v>
      </c>
      <c r="AW38" s="257">
        <v>15</v>
      </c>
      <c r="AX38" s="255">
        <v>2</v>
      </c>
      <c r="AY38" s="255">
        <v>34</v>
      </c>
      <c r="AZ38" s="256">
        <v>86</v>
      </c>
      <c r="BA38" s="257">
        <v>0</v>
      </c>
      <c r="BB38" s="255">
        <v>0</v>
      </c>
      <c r="BC38" s="255">
        <v>0</v>
      </c>
      <c r="BD38" s="258">
        <v>0</v>
      </c>
      <c r="BE38" s="183"/>
      <c r="BF38" s="218"/>
      <c r="BG38" s="218"/>
      <c r="BH38" s="218"/>
      <c r="BI38" s="218"/>
      <c r="BJ38" s="218"/>
      <c r="BK38" s="218"/>
      <c r="BL38" s="218"/>
      <c r="BM38" s="218"/>
      <c r="BN38" s="257">
        <v>0</v>
      </c>
      <c r="BO38" s="255">
        <v>0</v>
      </c>
      <c r="BP38" s="255">
        <v>0</v>
      </c>
      <c r="BQ38" s="258">
        <v>0</v>
      </c>
      <c r="BR38" s="183"/>
      <c r="BS38" s="254">
        <v>0</v>
      </c>
      <c r="BT38" s="255">
        <v>0</v>
      </c>
      <c r="BU38" s="255">
        <v>0</v>
      </c>
      <c r="BV38" s="256">
        <v>0</v>
      </c>
      <c r="BW38" s="257">
        <v>0</v>
      </c>
      <c r="BX38" s="255">
        <v>0</v>
      </c>
      <c r="BY38" s="255">
        <v>0</v>
      </c>
      <c r="BZ38" s="256">
        <v>0</v>
      </c>
      <c r="CA38" s="257">
        <v>0</v>
      </c>
      <c r="CB38" s="255">
        <v>0</v>
      </c>
      <c r="CC38" s="255">
        <v>0</v>
      </c>
      <c r="CD38" s="258">
        <v>0</v>
      </c>
      <c r="CE38" s="183"/>
      <c r="CF38" s="254">
        <v>0</v>
      </c>
      <c r="CG38" s="255">
        <v>0</v>
      </c>
      <c r="CH38" s="255">
        <v>0</v>
      </c>
      <c r="CI38" s="258">
        <v>0</v>
      </c>
      <c r="CJ38" s="183"/>
      <c r="CK38" s="182">
        <v>28</v>
      </c>
      <c r="CL38" s="184" t="str">
        <f t="shared" si="6"/>
        <v>11:26:13,42</v>
      </c>
      <c r="CM38" s="185" t="str">
        <f t="shared" si="7"/>
        <v>11:31:48,41</v>
      </c>
      <c r="CN38" s="186" t="str">
        <f>IF(ISBLANK($E39),"",N38&amp;":"&amp;O38&amp;":"&amp;P38&amp;","&amp;Q38)</f>
        <v>0:0:30,0</v>
      </c>
      <c r="CO38" s="183"/>
      <c r="CP38" s="184" t="str">
        <f t="shared" si="24"/>
        <v>12:26:8,74</v>
      </c>
      <c r="CQ38" s="185" t="str">
        <f t="shared" si="25"/>
        <v>12:32:32,0</v>
      </c>
      <c r="CR38" s="186" t="str">
        <f t="shared" si="26"/>
        <v>0:0:0,0</v>
      </c>
      <c r="CS38" s="183"/>
      <c r="CT38" s="184" t="str">
        <f t="shared" si="27"/>
        <v>13:41:59,23</v>
      </c>
      <c r="CU38" s="185" t="str">
        <f t="shared" si="28"/>
        <v>13:47:33,2</v>
      </c>
      <c r="CV38" s="186" t="str">
        <f t="shared" si="29"/>
        <v>0:0:0,0</v>
      </c>
      <c r="CW38" s="183"/>
      <c r="CX38" s="184" t="str">
        <f t="shared" si="30"/>
        <v>14:56:0,88</v>
      </c>
      <c r="CY38" s="185" t="str">
        <f t="shared" si="31"/>
        <v>15:2:34,86</v>
      </c>
      <c r="CZ38" s="186" t="str">
        <f t="shared" si="32"/>
        <v>0:0:0,0</v>
      </c>
      <c r="DA38" s="183"/>
      <c r="DB38" s="184" t="str">
        <f t="shared" si="33"/>
        <v>::,</v>
      </c>
      <c r="DC38" s="185" t="str">
        <f t="shared" si="34"/>
        <v>::,</v>
      </c>
      <c r="DD38" s="186" t="str">
        <f t="shared" si="35"/>
        <v>0:0:0,0</v>
      </c>
      <c r="DE38" s="183"/>
      <c r="DF38" s="184" t="str">
        <f t="shared" si="36"/>
        <v>0:0:0,0</v>
      </c>
      <c r="DG38" s="185" t="str">
        <f t="shared" si="37"/>
        <v>0:0:0,0</v>
      </c>
      <c r="DH38" s="186" t="str">
        <f t="shared" si="38"/>
        <v>0:0:0,0</v>
      </c>
      <c r="DI38" s="183"/>
      <c r="DJ38" s="187" t="str">
        <f t="shared" si="39"/>
        <v>0:0:0,0</v>
      </c>
    </row>
    <row r="39" spans="2:114">
      <c r="B39" s="274">
        <f>IF(ISBLANK($E40),"",VLOOKUP($E40,Teilnehmer!$B$4:$K$199,2,0))</f>
        <v>2</v>
      </c>
      <c r="C39" s="190">
        <f>IF(ISBLANK($E40),"",VLOOKUP($E40,Teilnehmer!$B$4:$K$199,3,0))</f>
        <v>9</v>
      </c>
      <c r="D39" s="181" t="str">
        <f>IF(ISBLANK($E39),"",VLOOKUP($E39,Teilnehmer!$B$4:$K$199,4,0))</f>
        <v>Kraus Florian</v>
      </c>
      <c r="E39" s="182">
        <v>29</v>
      </c>
      <c r="F39" s="257">
        <v>11</v>
      </c>
      <c r="G39" s="255">
        <v>27</v>
      </c>
      <c r="H39" s="255">
        <v>48</v>
      </c>
      <c r="I39" s="258">
        <v>44</v>
      </c>
      <c r="J39" s="257">
        <v>11</v>
      </c>
      <c r="K39" s="255">
        <v>33</v>
      </c>
      <c r="L39" s="255">
        <v>10</v>
      </c>
      <c r="M39" s="258">
        <v>4</v>
      </c>
      <c r="N39" s="257">
        <v>0</v>
      </c>
      <c r="O39" s="255">
        <v>0</v>
      </c>
      <c r="P39" s="255">
        <v>30</v>
      </c>
      <c r="Q39" s="258">
        <v>0</v>
      </c>
      <c r="R39" s="183"/>
      <c r="S39" s="218"/>
      <c r="T39" s="218"/>
      <c r="U39" s="218"/>
      <c r="V39" s="218"/>
      <c r="W39" s="218"/>
      <c r="X39" s="218"/>
      <c r="Y39" s="218"/>
      <c r="Z39" s="218"/>
      <c r="AA39" s="257">
        <v>0</v>
      </c>
      <c r="AB39" s="255">
        <v>0</v>
      </c>
      <c r="AC39" s="255">
        <v>0</v>
      </c>
      <c r="AD39" s="258">
        <v>0</v>
      </c>
      <c r="AE39" s="183"/>
      <c r="AF39" s="218"/>
      <c r="AG39" s="218"/>
      <c r="AH39" s="218"/>
      <c r="AI39" s="218"/>
      <c r="AJ39" s="218"/>
      <c r="AK39" s="218"/>
      <c r="AL39" s="218"/>
      <c r="AM39" s="218"/>
      <c r="AN39" s="257">
        <v>0</v>
      </c>
      <c r="AO39" s="255">
        <v>0</v>
      </c>
      <c r="AP39" s="255">
        <v>0</v>
      </c>
      <c r="AQ39" s="258">
        <v>0</v>
      </c>
      <c r="AR39" s="183"/>
      <c r="AS39" s="218"/>
      <c r="AT39" s="218"/>
      <c r="AU39" s="218"/>
      <c r="AV39" s="218"/>
      <c r="AW39" s="218"/>
      <c r="AX39" s="218"/>
      <c r="AY39" s="218"/>
      <c r="AZ39" s="218"/>
      <c r="BA39" s="257">
        <v>0</v>
      </c>
      <c r="BB39" s="255">
        <v>0</v>
      </c>
      <c r="BC39" s="255">
        <v>0</v>
      </c>
      <c r="BD39" s="258">
        <v>0</v>
      </c>
      <c r="BE39" s="183"/>
      <c r="BF39" s="218"/>
      <c r="BG39" s="218"/>
      <c r="BH39" s="218"/>
      <c r="BI39" s="218"/>
      <c r="BJ39" s="218"/>
      <c r="BK39" s="218"/>
      <c r="BL39" s="218"/>
      <c r="BM39" s="218"/>
      <c r="BN39" s="257">
        <v>0</v>
      </c>
      <c r="BO39" s="255">
        <v>0</v>
      </c>
      <c r="BP39" s="255">
        <v>0</v>
      </c>
      <c r="BQ39" s="258">
        <v>0</v>
      </c>
      <c r="BR39" s="183"/>
      <c r="BS39" s="254">
        <v>0</v>
      </c>
      <c r="BT39" s="255">
        <v>0</v>
      </c>
      <c r="BU39" s="255">
        <v>0</v>
      </c>
      <c r="BV39" s="256">
        <v>0</v>
      </c>
      <c r="BW39" s="257">
        <v>0</v>
      </c>
      <c r="BX39" s="255">
        <v>0</v>
      </c>
      <c r="BY39" s="255">
        <v>0</v>
      </c>
      <c r="BZ39" s="256">
        <v>0</v>
      </c>
      <c r="CA39" s="257">
        <v>0</v>
      </c>
      <c r="CB39" s="255">
        <v>0</v>
      </c>
      <c r="CC39" s="255">
        <v>0</v>
      </c>
      <c r="CD39" s="258">
        <v>0</v>
      </c>
      <c r="CE39" s="183"/>
      <c r="CF39" s="254">
        <v>0</v>
      </c>
      <c r="CG39" s="255">
        <v>0</v>
      </c>
      <c r="CH39" s="255">
        <v>0</v>
      </c>
      <c r="CI39" s="258">
        <v>0</v>
      </c>
      <c r="CJ39" s="183"/>
      <c r="CK39" s="182">
        <v>29</v>
      </c>
      <c r="CL39" s="184" t="str">
        <f t="shared" si="6"/>
        <v>11:27:48,44</v>
      </c>
      <c r="CM39" s="185" t="str">
        <f t="shared" si="7"/>
        <v>11:33:10,4</v>
      </c>
      <c r="CN39" s="186" t="str">
        <f>IF(ISBLANK($E40),"",N39&amp;":"&amp;O39&amp;":"&amp;P39&amp;","&amp;Q39)</f>
        <v>0:0:30,0</v>
      </c>
      <c r="CO39" s="183"/>
      <c r="CP39" s="184" t="str">
        <f t="shared" si="24"/>
        <v>::,</v>
      </c>
      <c r="CQ39" s="185" t="str">
        <f t="shared" si="25"/>
        <v>::,</v>
      </c>
      <c r="CR39" s="186" t="str">
        <f t="shared" si="26"/>
        <v>0:0:0,0</v>
      </c>
      <c r="CS39" s="183"/>
      <c r="CT39" s="184" t="str">
        <f t="shared" si="27"/>
        <v>::,</v>
      </c>
      <c r="CU39" s="185" t="str">
        <f t="shared" si="28"/>
        <v>::,</v>
      </c>
      <c r="CV39" s="186" t="str">
        <f t="shared" si="29"/>
        <v>0:0:0,0</v>
      </c>
      <c r="CW39" s="183"/>
      <c r="CX39" s="184" t="str">
        <f t="shared" si="30"/>
        <v>::,</v>
      </c>
      <c r="CY39" s="185" t="str">
        <f t="shared" si="31"/>
        <v>::,</v>
      </c>
      <c r="CZ39" s="186" t="str">
        <f t="shared" si="32"/>
        <v>0:0:0,0</v>
      </c>
      <c r="DA39" s="183"/>
      <c r="DB39" s="184" t="str">
        <f t="shared" si="33"/>
        <v>::,</v>
      </c>
      <c r="DC39" s="185" t="str">
        <f t="shared" si="34"/>
        <v>::,</v>
      </c>
      <c r="DD39" s="186" t="str">
        <f t="shared" si="35"/>
        <v>0:0:0,0</v>
      </c>
      <c r="DE39" s="183"/>
      <c r="DF39" s="184" t="str">
        <f t="shared" si="36"/>
        <v>0:0:0,0</v>
      </c>
      <c r="DG39" s="185" t="str">
        <f t="shared" si="37"/>
        <v>0:0:0,0</v>
      </c>
      <c r="DH39" s="186" t="str">
        <f t="shared" si="38"/>
        <v>0:0:0,0</v>
      </c>
      <c r="DI39" s="183"/>
      <c r="DJ39" s="187" t="str">
        <f t="shared" si="39"/>
        <v>0:0:0,0</v>
      </c>
    </row>
    <row r="40" spans="2:114">
      <c r="B40" s="274">
        <f>IF(ISBLANK($E41),"",VLOOKUP($E41,Teilnehmer!$B$4:$K$199,2,0))</f>
        <v>2</v>
      </c>
      <c r="C40" s="190">
        <f>IF(ISBLANK($E41),"",VLOOKUP($E41,Teilnehmer!$B$4:$K$199,3,0))</f>
        <v>9</v>
      </c>
      <c r="D40" s="181" t="str">
        <f>IF(ISBLANK($E40),"",VLOOKUP($E40,Teilnehmer!$B$4:$K$199,4,0))</f>
        <v>Röhrig Christian</v>
      </c>
      <c r="E40" s="182">
        <v>30</v>
      </c>
      <c r="F40" s="218"/>
      <c r="G40" s="218"/>
      <c r="H40" s="218"/>
      <c r="I40" s="218"/>
      <c r="J40" s="218"/>
      <c r="K40" s="218"/>
      <c r="L40" s="218"/>
      <c r="M40" s="218"/>
      <c r="N40" s="257">
        <v>0</v>
      </c>
      <c r="O40" s="255">
        <v>0</v>
      </c>
      <c r="P40" s="255">
        <v>0</v>
      </c>
      <c r="Q40" s="258">
        <v>0</v>
      </c>
      <c r="R40" s="183"/>
      <c r="S40" s="218"/>
      <c r="T40" s="218"/>
      <c r="U40" s="218"/>
      <c r="V40" s="218"/>
      <c r="W40" s="218"/>
      <c r="X40" s="218"/>
      <c r="Y40" s="218"/>
      <c r="Z40" s="218"/>
      <c r="AA40" s="257">
        <v>0</v>
      </c>
      <c r="AB40" s="255">
        <v>0</v>
      </c>
      <c r="AC40" s="255">
        <v>0</v>
      </c>
      <c r="AD40" s="258">
        <v>0</v>
      </c>
      <c r="AE40" s="183"/>
      <c r="AF40" s="218"/>
      <c r="AG40" s="218"/>
      <c r="AH40" s="218"/>
      <c r="AI40" s="218"/>
      <c r="AJ40" s="218"/>
      <c r="AK40" s="218"/>
      <c r="AL40" s="218"/>
      <c r="AM40" s="218"/>
      <c r="AN40" s="257">
        <v>0</v>
      </c>
      <c r="AO40" s="255">
        <v>0</v>
      </c>
      <c r="AP40" s="255">
        <v>0</v>
      </c>
      <c r="AQ40" s="258">
        <v>0</v>
      </c>
      <c r="AR40" s="183"/>
      <c r="AS40" s="218"/>
      <c r="AT40" s="218"/>
      <c r="AU40" s="218"/>
      <c r="AV40" s="218"/>
      <c r="AW40" s="218"/>
      <c r="AX40" s="218"/>
      <c r="AY40" s="218"/>
      <c r="AZ40" s="218"/>
      <c r="BA40" s="257">
        <v>0</v>
      </c>
      <c r="BB40" s="255">
        <v>0</v>
      </c>
      <c r="BC40" s="255">
        <v>0</v>
      </c>
      <c r="BD40" s="258">
        <v>0</v>
      </c>
      <c r="BE40" s="183"/>
      <c r="BF40" s="218"/>
      <c r="BG40" s="218"/>
      <c r="BH40" s="218"/>
      <c r="BI40" s="218"/>
      <c r="BJ40" s="218"/>
      <c r="BK40" s="218"/>
      <c r="BL40" s="218"/>
      <c r="BM40" s="218"/>
      <c r="BN40" s="257">
        <v>0</v>
      </c>
      <c r="BO40" s="255">
        <v>0</v>
      </c>
      <c r="BP40" s="255">
        <v>0</v>
      </c>
      <c r="BQ40" s="258">
        <v>0</v>
      </c>
      <c r="BR40" s="183"/>
      <c r="BS40" s="254">
        <v>0</v>
      </c>
      <c r="BT40" s="255">
        <v>0</v>
      </c>
      <c r="BU40" s="255">
        <v>0</v>
      </c>
      <c r="BV40" s="256">
        <v>0</v>
      </c>
      <c r="BW40" s="257">
        <v>0</v>
      </c>
      <c r="BX40" s="255">
        <v>0</v>
      </c>
      <c r="BY40" s="255">
        <v>0</v>
      </c>
      <c r="BZ40" s="256">
        <v>0</v>
      </c>
      <c r="CA40" s="257">
        <v>0</v>
      </c>
      <c r="CB40" s="255">
        <v>0</v>
      </c>
      <c r="CC40" s="255">
        <v>0</v>
      </c>
      <c r="CD40" s="258">
        <v>0</v>
      </c>
      <c r="CE40" s="183"/>
      <c r="CF40" s="254">
        <v>0</v>
      </c>
      <c r="CG40" s="255">
        <v>0</v>
      </c>
      <c r="CH40" s="255">
        <v>0</v>
      </c>
      <c r="CI40" s="258">
        <v>0</v>
      </c>
      <c r="CJ40" s="183"/>
      <c r="CK40" s="182">
        <v>30</v>
      </c>
      <c r="CL40" s="184" t="str">
        <f t="shared" si="6"/>
        <v>::,</v>
      </c>
      <c r="CM40" s="185" t="str">
        <f t="shared" si="7"/>
        <v>::,</v>
      </c>
      <c r="CN40" s="186" t="str">
        <f>IF(ISBLANK($E41),"",N40&amp;":"&amp;O40&amp;":"&amp;P40&amp;","&amp;Q40)</f>
        <v>0:0:0,0</v>
      </c>
      <c r="CO40" s="183"/>
      <c r="CP40" s="184" t="str">
        <f t="shared" si="24"/>
        <v>::,</v>
      </c>
      <c r="CQ40" s="185" t="str">
        <f t="shared" si="25"/>
        <v>::,</v>
      </c>
      <c r="CR40" s="186" t="str">
        <f t="shared" si="26"/>
        <v>0:0:0,0</v>
      </c>
      <c r="CS40" s="183"/>
      <c r="CT40" s="184" t="str">
        <f t="shared" si="27"/>
        <v>::,</v>
      </c>
      <c r="CU40" s="185" t="str">
        <f t="shared" si="28"/>
        <v>::,</v>
      </c>
      <c r="CV40" s="186" t="str">
        <f t="shared" si="29"/>
        <v>0:0:0,0</v>
      </c>
      <c r="CW40" s="183"/>
      <c r="CX40" s="184" t="str">
        <f t="shared" si="30"/>
        <v>::,</v>
      </c>
      <c r="CY40" s="185" t="str">
        <f t="shared" si="31"/>
        <v>::,</v>
      </c>
      <c r="CZ40" s="186" t="str">
        <f t="shared" si="32"/>
        <v>0:0:0,0</v>
      </c>
      <c r="DA40" s="183"/>
      <c r="DB40" s="184" t="str">
        <f t="shared" si="33"/>
        <v>::,</v>
      </c>
      <c r="DC40" s="185" t="str">
        <f t="shared" si="34"/>
        <v>::,</v>
      </c>
      <c r="DD40" s="186" t="str">
        <f t="shared" si="35"/>
        <v>0:0:0,0</v>
      </c>
      <c r="DE40" s="183"/>
      <c r="DF40" s="184" t="str">
        <f t="shared" si="36"/>
        <v>0:0:0,0</v>
      </c>
      <c r="DG40" s="185" t="str">
        <f t="shared" si="37"/>
        <v>0:0:0,0</v>
      </c>
      <c r="DH40" s="186" t="str">
        <f t="shared" si="38"/>
        <v>0:0:0,0</v>
      </c>
      <c r="DI40" s="183"/>
      <c r="DJ40" s="187" t="str">
        <f t="shared" si="39"/>
        <v>0:0:0,0</v>
      </c>
    </row>
    <row r="41" spans="2:114">
      <c r="B41" s="274">
        <f>IF(ISBLANK($E42),"",VLOOKUP($E42,Teilnehmer!$B$4:$K$199,2,0))</f>
        <v>2</v>
      </c>
      <c r="C41" s="190">
        <f>IF(ISBLANK($E42),"",VLOOKUP($E42,Teilnehmer!$B$4:$K$199,3,0))</f>
        <v>9</v>
      </c>
      <c r="D41" s="181" t="str">
        <f>IF(ISBLANK($E41),"",VLOOKUP($E41,Teilnehmer!$B$4:$K$199,4,0))</f>
        <v>Jäger Dirk</v>
      </c>
      <c r="E41" s="182">
        <v>31</v>
      </c>
      <c r="F41" s="257">
        <v>11</v>
      </c>
      <c r="G41" s="255">
        <v>28</v>
      </c>
      <c r="H41" s="255">
        <v>46</v>
      </c>
      <c r="I41" s="258">
        <v>72</v>
      </c>
      <c r="J41" s="257">
        <v>11</v>
      </c>
      <c r="K41" s="255">
        <v>34</v>
      </c>
      <c r="L41" s="255">
        <v>38</v>
      </c>
      <c r="M41" s="258">
        <v>7</v>
      </c>
      <c r="N41" s="257">
        <v>0</v>
      </c>
      <c r="O41" s="255">
        <v>0</v>
      </c>
      <c r="P41" s="255">
        <v>0</v>
      </c>
      <c r="Q41" s="258">
        <v>0</v>
      </c>
      <c r="R41" s="183"/>
      <c r="S41" s="254">
        <v>12</v>
      </c>
      <c r="T41" s="255">
        <v>26</v>
      </c>
      <c r="U41" s="255">
        <v>28</v>
      </c>
      <c r="V41" s="258">
        <v>75</v>
      </c>
      <c r="W41" s="257">
        <v>12</v>
      </c>
      <c r="X41" s="255">
        <v>32</v>
      </c>
      <c r="Y41" s="255">
        <v>53</v>
      </c>
      <c r="Z41" s="256">
        <v>85</v>
      </c>
      <c r="AA41" s="257">
        <v>0</v>
      </c>
      <c r="AB41" s="255">
        <v>0</v>
      </c>
      <c r="AC41" s="255">
        <v>0</v>
      </c>
      <c r="AD41" s="258">
        <v>0</v>
      </c>
      <c r="AE41" s="183"/>
      <c r="AF41" s="254">
        <v>13</v>
      </c>
      <c r="AG41" s="255">
        <v>42</v>
      </c>
      <c r="AH41" s="255">
        <v>34</v>
      </c>
      <c r="AI41" s="256">
        <v>93</v>
      </c>
      <c r="AJ41" s="257">
        <v>13</v>
      </c>
      <c r="AK41" s="255">
        <v>48</v>
      </c>
      <c r="AL41" s="255">
        <v>9</v>
      </c>
      <c r="AM41" s="256">
        <v>69</v>
      </c>
      <c r="AN41" s="257">
        <v>0</v>
      </c>
      <c r="AO41" s="255">
        <v>0</v>
      </c>
      <c r="AP41" s="255">
        <v>0</v>
      </c>
      <c r="AQ41" s="258">
        <v>0</v>
      </c>
      <c r="AR41" s="183"/>
      <c r="AS41" s="254">
        <v>14</v>
      </c>
      <c r="AT41" s="255">
        <v>56</v>
      </c>
      <c r="AU41" s="255">
        <v>19</v>
      </c>
      <c r="AV41" s="256">
        <v>48</v>
      </c>
      <c r="AW41" s="257">
        <v>15</v>
      </c>
      <c r="AX41" s="255">
        <v>2</v>
      </c>
      <c r="AY41" s="255">
        <v>37</v>
      </c>
      <c r="AZ41" s="256">
        <v>96</v>
      </c>
      <c r="BA41" s="257">
        <v>0</v>
      </c>
      <c r="BB41" s="255">
        <v>0</v>
      </c>
      <c r="BC41" s="255">
        <v>0</v>
      </c>
      <c r="BD41" s="258">
        <v>0</v>
      </c>
      <c r="BE41" s="183"/>
      <c r="BF41" s="254">
        <v>15</v>
      </c>
      <c r="BG41" s="255">
        <v>28</v>
      </c>
      <c r="BH41" s="255">
        <v>33</v>
      </c>
      <c r="BI41" s="256">
        <v>31</v>
      </c>
      <c r="BJ41" s="257">
        <v>15</v>
      </c>
      <c r="BK41" s="255">
        <v>34</v>
      </c>
      <c r="BL41" s="255">
        <v>2</v>
      </c>
      <c r="BM41" s="256">
        <v>14</v>
      </c>
      <c r="BN41" s="257">
        <v>0</v>
      </c>
      <c r="BO41" s="255">
        <v>0</v>
      </c>
      <c r="BP41" s="255">
        <v>0</v>
      </c>
      <c r="BQ41" s="258">
        <v>0</v>
      </c>
      <c r="BR41" s="183"/>
      <c r="BS41" s="254">
        <v>0</v>
      </c>
      <c r="BT41" s="255">
        <v>0</v>
      </c>
      <c r="BU41" s="255">
        <v>0</v>
      </c>
      <c r="BV41" s="256">
        <v>0</v>
      </c>
      <c r="BW41" s="257">
        <v>0</v>
      </c>
      <c r="BX41" s="255">
        <v>0</v>
      </c>
      <c r="BY41" s="255">
        <v>0</v>
      </c>
      <c r="BZ41" s="256">
        <v>0</v>
      </c>
      <c r="CA41" s="257">
        <v>0</v>
      </c>
      <c r="CB41" s="255">
        <v>0</v>
      </c>
      <c r="CC41" s="255">
        <v>0</v>
      </c>
      <c r="CD41" s="258">
        <v>0</v>
      </c>
      <c r="CE41" s="183"/>
      <c r="CF41" s="254">
        <v>0</v>
      </c>
      <c r="CG41" s="255">
        <v>0</v>
      </c>
      <c r="CH41" s="255">
        <v>0</v>
      </c>
      <c r="CI41" s="258">
        <v>0</v>
      </c>
      <c r="CJ41" s="183"/>
      <c r="CK41" s="182">
        <v>31</v>
      </c>
      <c r="CL41" s="184" t="str">
        <f t="shared" si="6"/>
        <v>11:28:46,72</v>
      </c>
      <c r="CM41" s="185" t="str">
        <f t="shared" si="7"/>
        <v>11:34:38,7</v>
      </c>
      <c r="CN41" s="186" t="str">
        <f>IF(ISBLANK($E42),"",N41&amp;":"&amp;O41&amp;":"&amp;P41&amp;","&amp;Q41)</f>
        <v>0:0:0,0</v>
      </c>
      <c r="CO41" s="183"/>
      <c r="CP41" s="184" t="str">
        <f t="shared" si="24"/>
        <v>12:26:28,75</v>
      </c>
      <c r="CQ41" s="185" t="str">
        <f t="shared" si="25"/>
        <v>12:32:53,85</v>
      </c>
      <c r="CR41" s="186" t="str">
        <f t="shared" si="26"/>
        <v>0:0:0,0</v>
      </c>
      <c r="CS41" s="183"/>
      <c r="CT41" s="184" t="str">
        <f t="shared" si="27"/>
        <v>13:42:34,93</v>
      </c>
      <c r="CU41" s="185" t="str">
        <f t="shared" si="28"/>
        <v>13:48:9,69</v>
      </c>
      <c r="CV41" s="186" t="str">
        <f t="shared" si="29"/>
        <v>0:0:0,0</v>
      </c>
      <c r="CW41" s="183"/>
      <c r="CX41" s="184" t="str">
        <f t="shared" si="30"/>
        <v>14:56:19,48</v>
      </c>
      <c r="CY41" s="185" t="str">
        <f t="shared" si="31"/>
        <v>15:2:37,96</v>
      </c>
      <c r="CZ41" s="186" t="str">
        <f t="shared" si="32"/>
        <v>0:0:0,0</v>
      </c>
      <c r="DA41" s="183"/>
      <c r="DB41" s="184" t="str">
        <f t="shared" si="33"/>
        <v>15:28:33,31</v>
      </c>
      <c r="DC41" s="185" t="str">
        <f t="shared" si="34"/>
        <v>15:34:2,14</v>
      </c>
      <c r="DD41" s="186" t="str">
        <f t="shared" si="35"/>
        <v>0:0:0,0</v>
      </c>
      <c r="DE41" s="183"/>
      <c r="DF41" s="184" t="str">
        <f t="shared" si="36"/>
        <v>0:0:0,0</v>
      </c>
      <c r="DG41" s="185" t="str">
        <f t="shared" si="37"/>
        <v>0:0:0,0</v>
      </c>
      <c r="DH41" s="186" t="str">
        <f t="shared" si="38"/>
        <v>0:0:0,0</v>
      </c>
      <c r="DI41" s="183"/>
      <c r="DJ41" s="187" t="str">
        <f t="shared" si="39"/>
        <v>0:0:0,0</v>
      </c>
    </row>
    <row r="42" spans="2:114">
      <c r="B42" s="274">
        <f>IF(ISBLANK($E43),"",VLOOKUP($E43,Teilnehmer!$B$4:$K$199,2,0))</f>
        <v>2</v>
      </c>
      <c r="C42" s="190">
        <f>IF(ISBLANK($E43),"",VLOOKUP($E43,Teilnehmer!$B$4:$K$199,3,0))</f>
        <v>9</v>
      </c>
      <c r="D42" s="181" t="str">
        <f>IF(ISBLANK($E42),"",VLOOKUP($E42,Teilnehmer!$B$4:$K$199,4,0))</f>
        <v>Litzius Kurt</v>
      </c>
      <c r="E42" s="182">
        <v>32</v>
      </c>
      <c r="F42" s="257">
        <v>11</v>
      </c>
      <c r="G42" s="255">
        <v>29</v>
      </c>
      <c r="H42" s="255">
        <v>38</v>
      </c>
      <c r="I42" s="258">
        <v>85</v>
      </c>
      <c r="J42" s="257">
        <v>11</v>
      </c>
      <c r="K42" s="255">
        <v>35</v>
      </c>
      <c r="L42" s="255">
        <v>35</v>
      </c>
      <c r="M42" s="258">
        <v>92</v>
      </c>
      <c r="N42" s="257">
        <v>0</v>
      </c>
      <c r="O42" s="255">
        <v>0</v>
      </c>
      <c r="P42" s="255">
        <v>0</v>
      </c>
      <c r="Q42" s="258">
        <v>0</v>
      </c>
      <c r="R42" s="183"/>
      <c r="S42" s="254">
        <v>12</v>
      </c>
      <c r="T42" s="255">
        <v>26</v>
      </c>
      <c r="U42" s="255">
        <v>45</v>
      </c>
      <c r="V42" s="258">
        <v>21</v>
      </c>
      <c r="W42" s="257">
        <v>12</v>
      </c>
      <c r="X42" s="255">
        <v>33</v>
      </c>
      <c r="Y42" s="255">
        <v>37</v>
      </c>
      <c r="Z42" s="256">
        <v>94</v>
      </c>
      <c r="AA42" s="257">
        <v>0</v>
      </c>
      <c r="AB42" s="255">
        <v>0</v>
      </c>
      <c r="AC42" s="255">
        <v>0</v>
      </c>
      <c r="AD42" s="258">
        <v>0</v>
      </c>
      <c r="AE42" s="183"/>
      <c r="AF42" s="254">
        <v>13</v>
      </c>
      <c r="AG42" s="255">
        <v>43</v>
      </c>
      <c r="AH42" s="255">
        <v>5</v>
      </c>
      <c r="AI42" s="256">
        <v>57</v>
      </c>
      <c r="AJ42" s="257">
        <v>13</v>
      </c>
      <c r="AK42" s="255">
        <v>48</v>
      </c>
      <c r="AL42" s="255">
        <v>50</v>
      </c>
      <c r="AM42" s="256">
        <v>24</v>
      </c>
      <c r="AN42" s="257">
        <v>0</v>
      </c>
      <c r="AO42" s="255">
        <v>0</v>
      </c>
      <c r="AP42" s="255">
        <v>0</v>
      </c>
      <c r="AQ42" s="258">
        <v>0</v>
      </c>
      <c r="AR42" s="183"/>
      <c r="AS42" s="254">
        <v>14</v>
      </c>
      <c r="AT42" s="255">
        <v>56</v>
      </c>
      <c r="AU42" s="255">
        <v>40</v>
      </c>
      <c r="AV42" s="256">
        <v>35</v>
      </c>
      <c r="AW42" s="257">
        <v>15</v>
      </c>
      <c r="AX42" s="255">
        <v>3</v>
      </c>
      <c r="AY42" s="255">
        <v>18</v>
      </c>
      <c r="AZ42" s="256">
        <v>11</v>
      </c>
      <c r="BA42" s="257">
        <v>0</v>
      </c>
      <c r="BB42" s="255">
        <v>0</v>
      </c>
      <c r="BC42" s="255">
        <v>0</v>
      </c>
      <c r="BD42" s="258">
        <v>0</v>
      </c>
      <c r="BE42" s="183"/>
      <c r="BF42" s="254">
        <v>15</v>
      </c>
      <c r="BG42" s="255">
        <v>29</v>
      </c>
      <c r="BH42" s="255">
        <v>22</v>
      </c>
      <c r="BI42" s="256">
        <v>36</v>
      </c>
      <c r="BJ42" s="257">
        <v>15</v>
      </c>
      <c r="BK42" s="255">
        <v>34</v>
      </c>
      <c r="BL42" s="255">
        <v>56</v>
      </c>
      <c r="BM42" s="256">
        <v>72</v>
      </c>
      <c r="BN42" s="257">
        <v>0</v>
      </c>
      <c r="BO42" s="255">
        <v>0</v>
      </c>
      <c r="BP42" s="255">
        <v>0</v>
      </c>
      <c r="BQ42" s="258">
        <v>0</v>
      </c>
      <c r="BR42" s="183"/>
      <c r="BS42" s="254">
        <v>0</v>
      </c>
      <c r="BT42" s="255">
        <v>0</v>
      </c>
      <c r="BU42" s="255">
        <v>0</v>
      </c>
      <c r="BV42" s="256">
        <v>0</v>
      </c>
      <c r="BW42" s="257">
        <v>0</v>
      </c>
      <c r="BX42" s="255">
        <v>0</v>
      </c>
      <c r="BY42" s="255">
        <v>0</v>
      </c>
      <c r="BZ42" s="256">
        <v>0</v>
      </c>
      <c r="CA42" s="257">
        <v>0</v>
      </c>
      <c r="CB42" s="255">
        <v>0</v>
      </c>
      <c r="CC42" s="255">
        <v>0</v>
      </c>
      <c r="CD42" s="258">
        <v>0</v>
      </c>
      <c r="CE42" s="183"/>
      <c r="CF42" s="254">
        <v>0</v>
      </c>
      <c r="CG42" s="255">
        <v>0</v>
      </c>
      <c r="CH42" s="255">
        <v>0</v>
      </c>
      <c r="CI42" s="258">
        <v>0</v>
      </c>
      <c r="CJ42" s="183"/>
      <c r="CK42" s="182">
        <v>32</v>
      </c>
      <c r="CL42" s="184" t="str">
        <f t="shared" si="6"/>
        <v>11:29:38,85</v>
      </c>
      <c r="CM42" s="185" t="str">
        <f t="shared" si="7"/>
        <v>11:35:35,92</v>
      </c>
      <c r="CN42" s="186" t="str">
        <f>IF(ISBLANK($E43),"",N42&amp;":"&amp;O42&amp;":"&amp;P42&amp;","&amp;Q42)</f>
        <v>0:0:0,0</v>
      </c>
      <c r="CO42" s="183"/>
      <c r="CP42" s="184" t="str">
        <f t="shared" si="24"/>
        <v>12:26:45,21</v>
      </c>
      <c r="CQ42" s="185" t="str">
        <f t="shared" si="25"/>
        <v>12:33:37,94</v>
      </c>
      <c r="CR42" s="186" t="str">
        <f t="shared" si="26"/>
        <v>0:0:0,0</v>
      </c>
      <c r="CS42" s="183"/>
      <c r="CT42" s="184" t="str">
        <f t="shared" si="27"/>
        <v>13:43:5,57</v>
      </c>
      <c r="CU42" s="185" t="str">
        <f t="shared" si="28"/>
        <v>13:48:50,24</v>
      </c>
      <c r="CV42" s="186" t="str">
        <f t="shared" si="29"/>
        <v>0:0:0,0</v>
      </c>
      <c r="CW42" s="183"/>
      <c r="CX42" s="184" t="str">
        <f t="shared" si="30"/>
        <v>14:56:40,35</v>
      </c>
      <c r="CY42" s="185" t="str">
        <f t="shared" si="31"/>
        <v>15:3:18,11</v>
      </c>
      <c r="CZ42" s="186" t="str">
        <f t="shared" si="32"/>
        <v>0:0:0,0</v>
      </c>
      <c r="DA42" s="183"/>
      <c r="DB42" s="184" t="str">
        <f t="shared" si="33"/>
        <v>15:29:22,36</v>
      </c>
      <c r="DC42" s="185" t="str">
        <f t="shared" si="34"/>
        <v>15:34:56,72</v>
      </c>
      <c r="DD42" s="186" t="str">
        <f t="shared" si="35"/>
        <v>0:0:0,0</v>
      </c>
      <c r="DE42" s="183"/>
      <c r="DF42" s="184" t="str">
        <f t="shared" si="36"/>
        <v>0:0:0,0</v>
      </c>
      <c r="DG42" s="185" t="str">
        <f t="shared" si="37"/>
        <v>0:0:0,0</v>
      </c>
      <c r="DH42" s="186" t="str">
        <f t="shared" si="38"/>
        <v>0:0:0,0</v>
      </c>
      <c r="DI42" s="183"/>
      <c r="DJ42" s="187" t="str">
        <f t="shared" si="39"/>
        <v>0:0:0,0</v>
      </c>
    </row>
    <row r="43" spans="2:114">
      <c r="B43" s="274">
        <f>IF(ISBLANK($E44),"",VLOOKUP($E44,Teilnehmer!$B$4:$K$199,2,0))</f>
        <v>2</v>
      </c>
      <c r="C43" s="190">
        <f>IF(ISBLANK($E44),"",VLOOKUP($E44,Teilnehmer!$B$4:$K$199,3,0))</f>
        <v>9</v>
      </c>
      <c r="D43" s="181" t="str">
        <f>IF(ISBLANK($E43),"",VLOOKUP($E43,Teilnehmer!$B$4:$K$199,4,0))</f>
        <v>Kohler Sven</v>
      </c>
      <c r="E43" s="182">
        <v>33</v>
      </c>
      <c r="F43" s="257">
        <v>11</v>
      </c>
      <c r="G43" s="255">
        <v>31</v>
      </c>
      <c r="H43" s="255">
        <v>27</v>
      </c>
      <c r="I43" s="258">
        <v>99</v>
      </c>
      <c r="J43" s="257">
        <v>11</v>
      </c>
      <c r="K43" s="255">
        <v>36</v>
      </c>
      <c r="L43" s="255">
        <v>44</v>
      </c>
      <c r="M43" s="258">
        <v>42</v>
      </c>
      <c r="N43" s="257">
        <v>0</v>
      </c>
      <c r="O43" s="255">
        <v>0</v>
      </c>
      <c r="P43" s="255">
        <v>0</v>
      </c>
      <c r="Q43" s="258">
        <v>0</v>
      </c>
      <c r="R43" s="183"/>
      <c r="S43" s="254">
        <v>12</v>
      </c>
      <c r="T43" s="255">
        <v>27</v>
      </c>
      <c r="U43" s="255">
        <v>11</v>
      </c>
      <c r="V43" s="258">
        <v>96</v>
      </c>
      <c r="W43" s="257">
        <v>12</v>
      </c>
      <c r="X43" s="255">
        <v>33</v>
      </c>
      <c r="Y43" s="255">
        <v>16</v>
      </c>
      <c r="Z43" s="256">
        <v>51</v>
      </c>
      <c r="AA43" s="257">
        <v>0</v>
      </c>
      <c r="AB43" s="255">
        <v>0</v>
      </c>
      <c r="AC43" s="255">
        <v>0</v>
      </c>
      <c r="AD43" s="258">
        <v>0</v>
      </c>
      <c r="AE43" s="183"/>
      <c r="AF43" s="254">
        <v>13</v>
      </c>
      <c r="AG43" s="255">
        <v>45</v>
      </c>
      <c r="AH43" s="255">
        <v>9</v>
      </c>
      <c r="AI43" s="256">
        <v>69</v>
      </c>
      <c r="AJ43" s="257">
        <v>13</v>
      </c>
      <c r="AK43" s="255">
        <v>50</v>
      </c>
      <c r="AL43" s="255">
        <v>22</v>
      </c>
      <c r="AM43" s="256">
        <v>90</v>
      </c>
      <c r="AN43" s="257">
        <v>0</v>
      </c>
      <c r="AO43" s="255">
        <v>0</v>
      </c>
      <c r="AP43" s="255">
        <v>0</v>
      </c>
      <c r="AQ43" s="258">
        <v>0</v>
      </c>
      <c r="AR43" s="183"/>
      <c r="AS43" s="254">
        <v>15</v>
      </c>
      <c r="AT43" s="255">
        <v>0</v>
      </c>
      <c r="AU43" s="255">
        <v>53</v>
      </c>
      <c r="AV43" s="256">
        <v>65</v>
      </c>
      <c r="AW43" s="257">
        <v>15</v>
      </c>
      <c r="AX43" s="255">
        <v>6</v>
      </c>
      <c r="AY43" s="255">
        <v>49</v>
      </c>
      <c r="AZ43" s="256">
        <v>4</v>
      </c>
      <c r="BA43" s="257">
        <v>0</v>
      </c>
      <c r="BB43" s="255">
        <v>0</v>
      </c>
      <c r="BC43" s="255">
        <v>0</v>
      </c>
      <c r="BD43" s="258">
        <v>0</v>
      </c>
      <c r="BE43" s="183"/>
      <c r="BF43" s="254">
        <v>15</v>
      </c>
      <c r="BG43" s="255">
        <v>32</v>
      </c>
      <c r="BH43" s="255">
        <v>28</v>
      </c>
      <c r="BI43" s="256">
        <v>78</v>
      </c>
      <c r="BJ43" s="257">
        <v>15</v>
      </c>
      <c r="BK43" s="255">
        <v>37</v>
      </c>
      <c r="BL43" s="255">
        <v>38</v>
      </c>
      <c r="BM43" s="256">
        <v>39</v>
      </c>
      <c r="BN43" s="257">
        <v>0</v>
      </c>
      <c r="BO43" s="255">
        <v>0</v>
      </c>
      <c r="BP43" s="255">
        <v>30</v>
      </c>
      <c r="BQ43" s="258">
        <v>0</v>
      </c>
      <c r="BR43" s="183"/>
      <c r="BS43" s="254">
        <v>0</v>
      </c>
      <c r="BT43" s="255">
        <v>0</v>
      </c>
      <c r="BU43" s="255">
        <v>0</v>
      </c>
      <c r="BV43" s="256">
        <v>0</v>
      </c>
      <c r="BW43" s="257">
        <v>0</v>
      </c>
      <c r="BX43" s="255">
        <v>0</v>
      </c>
      <c r="BY43" s="255">
        <v>0</v>
      </c>
      <c r="BZ43" s="256">
        <v>0</v>
      </c>
      <c r="CA43" s="257">
        <v>0</v>
      </c>
      <c r="CB43" s="255">
        <v>0</v>
      </c>
      <c r="CC43" s="255">
        <v>0</v>
      </c>
      <c r="CD43" s="258">
        <v>0</v>
      </c>
      <c r="CE43" s="183"/>
      <c r="CF43" s="254">
        <v>0</v>
      </c>
      <c r="CG43" s="255">
        <v>0</v>
      </c>
      <c r="CH43" s="255">
        <v>0</v>
      </c>
      <c r="CI43" s="258">
        <v>0</v>
      </c>
      <c r="CJ43" s="183"/>
      <c r="CK43" s="182">
        <v>33</v>
      </c>
      <c r="CL43" s="184" t="str">
        <f t="shared" si="6"/>
        <v>11:31:27,99</v>
      </c>
      <c r="CM43" s="185" t="str">
        <f t="shared" si="7"/>
        <v>11:36:44,42</v>
      </c>
      <c r="CN43" s="186" t="str">
        <f>IF(ISBLANK($E44),"",N43&amp;":"&amp;O43&amp;":"&amp;P43&amp;","&amp;Q43)</f>
        <v>0:0:0,0</v>
      </c>
      <c r="CO43" s="183"/>
      <c r="CP43" s="184" t="str">
        <f t="shared" si="24"/>
        <v>12:27:11,96</v>
      </c>
      <c r="CQ43" s="185" t="str">
        <f t="shared" si="25"/>
        <v>12:33:16,51</v>
      </c>
      <c r="CR43" s="186" t="str">
        <f t="shared" si="26"/>
        <v>0:0:0,0</v>
      </c>
      <c r="CS43" s="183"/>
      <c r="CT43" s="184" t="str">
        <f t="shared" si="27"/>
        <v>13:45:9,69</v>
      </c>
      <c r="CU43" s="185" t="str">
        <f t="shared" si="28"/>
        <v>13:50:22,90</v>
      </c>
      <c r="CV43" s="186" t="str">
        <f t="shared" si="29"/>
        <v>0:0:0,0</v>
      </c>
      <c r="CW43" s="183"/>
      <c r="CX43" s="184" t="str">
        <f t="shared" si="30"/>
        <v>15:0:53,65</v>
      </c>
      <c r="CY43" s="185" t="str">
        <f t="shared" si="31"/>
        <v>15:6:49,4</v>
      </c>
      <c r="CZ43" s="186" t="str">
        <f t="shared" si="32"/>
        <v>0:0:0,0</v>
      </c>
      <c r="DA43" s="183"/>
      <c r="DB43" s="184" t="str">
        <f t="shared" si="33"/>
        <v>15:32:28,78</v>
      </c>
      <c r="DC43" s="185" t="str">
        <f t="shared" si="34"/>
        <v>15:37:38,39</v>
      </c>
      <c r="DD43" s="186" t="str">
        <f t="shared" si="35"/>
        <v>0:0:30,0</v>
      </c>
      <c r="DE43" s="183"/>
      <c r="DF43" s="184" t="str">
        <f t="shared" si="36"/>
        <v>0:0:0,0</v>
      </c>
      <c r="DG43" s="185" t="str">
        <f t="shared" si="37"/>
        <v>0:0:0,0</v>
      </c>
      <c r="DH43" s="186" t="str">
        <f t="shared" si="38"/>
        <v>0:0:0,0</v>
      </c>
      <c r="DI43" s="183"/>
      <c r="DJ43" s="187" t="str">
        <f t="shared" si="39"/>
        <v>0:0:0,0</v>
      </c>
    </row>
    <row r="44" spans="2:114">
      <c r="B44" s="274">
        <f>IF(ISBLANK($E45),"",VLOOKUP($E45,Teilnehmer!$B$4:$K$199,2,0))</f>
        <v>2</v>
      </c>
      <c r="C44" s="190">
        <f>IF(ISBLANK($E45),"",VLOOKUP($E45,Teilnehmer!$B$4:$K$199,3,0))</f>
        <v>9</v>
      </c>
      <c r="D44" s="181" t="str">
        <f>IF(ISBLANK($E44),"",VLOOKUP($E44,Teilnehmer!$B$4:$K$199,4,0))</f>
        <v>Kohler Erhard</v>
      </c>
      <c r="E44" s="182">
        <v>34</v>
      </c>
      <c r="F44" s="257">
        <v>11</v>
      </c>
      <c r="G44" s="255">
        <v>32</v>
      </c>
      <c r="H44" s="255">
        <v>30</v>
      </c>
      <c r="I44" s="258">
        <v>48</v>
      </c>
      <c r="J44" s="257">
        <v>11</v>
      </c>
      <c r="K44" s="255">
        <v>37</v>
      </c>
      <c r="L44" s="255">
        <v>46</v>
      </c>
      <c r="M44" s="258">
        <v>51</v>
      </c>
      <c r="N44" s="257">
        <v>0</v>
      </c>
      <c r="O44" s="255">
        <v>0</v>
      </c>
      <c r="P44" s="255">
        <v>0</v>
      </c>
      <c r="Q44" s="258">
        <v>0</v>
      </c>
      <c r="R44" s="183"/>
      <c r="S44" s="254">
        <v>12</v>
      </c>
      <c r="T44" s="255">
        <v>27</v>
      </c>
      <c r="U44" s="255">
        <v>32</v>
      </c>
      <c r="V44" s="258">
        <v>58</v>
      </c>
      <c r="W44" s="257">
        <v>12</v>
      </c>
      <c r="X44" s="255">
        <v>33</v>
      </c>
      <c r="Y44" s="255">
        <v>43</v>
      </c>
      <c r="Z44" s="256">
        <v>87</v>
      </c>
      <c r="AA44" s="257">
        <v>0</v>
      </c>
      <c r="AB44" s="255">
        <v>0</v>
      </c>
      <c r="AC44" s="255">
        <v>0</v>
      </c>
      <c r="AD44" s="258">
        <v>0</v>
      </c>
      <c r="AE44" s="183"/>
      <c r="AF44" s="254">
        <v>13</v>
      </c>
      <c r="AG44" s="255">
        <v>45</v>
      </c>
      <c r="AH44" s="255">
        <v>43</v>
      </c>
      <c r="AI44" s="256">
        <v>57</v>
      </c>
      <c r="AJ44" s="257">
        <v>13</v>
      </c>
      <c r="AK44" s="255">
        <v>50</v>
      </c>
      <c r="AL44" s="255">
        <v>55</v>
      </c>
      <c r="AM44" s="256">
        <v>76</v>
      </c>
      <c r="AN44" s="257">
        <v>0</v>
      </c>
      <c r="AO44" s="255">
        <v>0</v>
      </c>
      <c r="AP44" s="255">
        <v>0</v>
      </c>
      <c r="AQ44" s="258">
        <v>0</v>
      </c>
      <c r="AR44" s="183"/>
      <c r="AS44" s="254">
        <v>15</v>
      </c>
      <c r="AT44" s="255">
        <v>1</v>
      </c>
      <c r="AU44" s="255">
        <v>12</v>
      </c>
      <c r="AV44" s="256">
        <v>43</v>
      </c>
      <c r="AW44" s="257">
        <v>15</v>
      </c>
      <c r="AX44" s="255">
        <v>7</v>
      </c>
      <c r="AY44" s="255">
        <v>16</v>
      </c>
      <c r="AZ44" s="256">
        <v>5</v>
      </c>
      <c r="BA44" s="257">
        <v>0</v>
      </c>
      <c r="BB44" s="255">
        <v>0</v>
      </c>
      <c r="BC44" s="255">
        <v>0</v>
      </c>
      <c r="BD44" s="258">
        <v>0</v>
      </c>
      <c r="BE44" s="183"/>
      <c r="BF44" s="254">
        <v>15</v>
      </c>
      <c r="BG44" s="255">
        <v>33</v>
      </c>
      <c r="BH44" s="255">
        <v>19</v>
      </c>
      <c r="BI44" s="256">
        <v>66</v>
      </c>
      <c r="BJ44" s="257">
        <v>15</v>
      </c>
      <c r="BK44" s="255">
        <v>38</v>
      </c>
      <c r="BL44" s="255">
        <v>34</v>
      </c>
      <c r="BM44" s="256">
        <v>1</v>
      </c>
      <c r="BN44" s="257">
        <v>0</v>
      </c>
      <c r="BO44" s="255">
        <v>1</v>
      </c>
      <c r="BP44" s="255">
        <v>0</v>
      </c>
      <c r="BQ44" s="258">
        <v>0</v>
      </c>
      <c r="BR44" s="183"/>
      <c r="BS44" s="254">
        <v>0</v>
      </c>
      <c r="BT44" s="255">
        <v>0</v>
      </c>
      <c r="BU44" s="255">
        <v>0</v>
      </c>
      <c r="BV44" s="256">
        <v>0</v>
      </c>
      <c r="BW44" s="257">
        <v>0</v>
      </c>
      <c r="BX44" s="255">
        <v>0</v>
      </c>
      <c r="BY44" s="255">
        <v>0</v>
      </c>
      <c r="BZ44" s="256">
        <v>0</v>
      </c>
      <c r="CA44" s="257">
        <v>0</v>
      </c>
      <c r="CB44" s="255">
        <v>0</v>
      </c>
      <c r="CC44" s="255">
        <v>0</v>
      </c>
      <c r="CD44" s="258">
        <v>0</v>
      </c>
      <c r="CE44" s="183"/>
      <c r="CF44" s="254">
        <v>0</v>
      </c>
      <c r="CG44" s="255">
        <v>0</v>
      </c>
      <c r="CH44" s="255">
        <v>0</v>
      </c>
      <c r="CI44" s="258">
        <v>0</v>
      </c>
      <c r="CJ44" s="183"/>
      <c r="CK44" s="182">
        <v>34</v>
      </c>
      <c r="CL44" s="184" t="str">
        <f t="shared" si="6"/>
        <v>11:32:30,48</v>
      </c>
      <c r="CM44" s="185" t="str">
        <f t="shared" si="7"/>
        <v>11:37:46,51</v>
      </c>
      <c r="CN44" s="186" t="str">
        <f>IF(ISBLANK($E45),"",N44&amp;":"&amp;O44&amp;":"&amp;P44&amp;","&amp;Q44)</f>
        <v>0:0:0,0</v>
      </c>
      <c r="CO44" s="183"/>
      <c r="CP44" s="184" t="str">
        <f t="shared" si="24"/>
        <v>12:27:32,58</v>
      </c>
      <c r="CQ44" s="185" t="str">
        <f t="shared" si="25"/>
        <v>12:33:43,87</v>
      </c>
      <c r="CR44" s="186" t="str">
        <f t="shared" si="26"/>
        <v>0:0:0,0</v>
      </c>
      <c r="CS44" s="183"/>
      <c r="CT44" s="184" t="str">
        <f t="shared" si="27"/>
        <v>13:45:43,57</v>
      </c>
      <c r="CU44" s="185" t="str">
        <f t="shared" si="28"/>
        <v>13:50:55,76</v>
      </c>
      <c r="CV44" s="186" t="str">
        <f t="shared" si="29"/>
        <v>0:0:0,0</v>
      </c>
      <c r="CW44" s="183"/>
      <c r="CX44" s="184" t="str">
        <f t="shared" si="30"/>
        <v>15:1:12,43</v>
      </c>
      <c r="CY44" s="185" t="str">
        <f t="shared" si="31"/>
        <v>15:7:16,5</v>
      </c>
      <c r="CZ44" s="186" t="str">
        <f t="shared" si="32"/>
        <v>0:0:0,0</v>
      </c>
      <c r="DA44" s="183"/>
      <c r="DB44" s="184" t="str">
        <f t="shared" si="33"/>
        <v>15:33:19,66</v>
      </c>
      <c r="DC44" s="185" t="str">
        <f t="shared" si="34"/>
        <v>15:38:34,1</v>
      </c>
      <c r="DD44" s="186" t="str">
        <f t="shared" si="35"/>
        <v>0:1:0,0</v>
      </c>
      <c r="DE44" s="183"/>
      <c r="DF44" s="184" t="str">
        <f t="shared" si="36"/>
        <v>0:0:0,0</v>
      </c>
      <c r="DG44" s="185" t="str">
        <f t="shared" si="37"/>
        <v>0:0:0,0</v>
      </c>
      <c r="DH44" s="186" t="str">
        <f t="shared" si="38"/>
        <v>0:0:0,0</v>
      </c>
      <c r="DI44" s="183"/>
      <c r="DJ44" s="187" t="str">
        <f t="shared" si="39"/>
        <v>0:0:0,0</v>
      </c>
    </row>
    <row r="45" spans="2:114">
      <c r="B45" s="274">
        <f>IF(ISBLANK($E46),"",VLOOKUP($E46,Teilnehmer!$B$4:$K$199,2,0))</f>
        <v>2</v>
      </c>
      <c r="C45" s="190">
        <f>IF(ISBLANK($E46),"",VLOOKUP($E46,Teilnehmer!$B$4:$K$199,3,0))</f>
        <v>9</v>
      </c>
      <c r="D45" s="181" t="str">
        <f>IF(ISBLANK($E45),"",VLOOKUP($E45,Teilnehmer!$B$4:$K$199,4,0))</f>
        <v>Kübler Oliver</v>
      </c>
      <c r="E45" s="182">
        <v>35</v>
      </c>
      <c r="F45" s="257">
        <v>11</v>
      </c>
      <c r="G45" s="255">
        <v>32</v>
      </c>
      <c r="H45" s="255">
        <v>59</v>
      </c>
      <c r="I45" s="258">
        <v>65</v>
      </c>
      <c r="J45" s="257">
        <v>11</v>
      </c>
      <c r="K45" s="255">
        <v>38</v>
      </c>
      <c r="L45" s="255">
        <v>20</v>
      </c>
      <c r="M45" s="258">
        <v>73</v>
      </c>
      <c r="N45" s="257">
        <v>0</v>
      </c>
      <c r="O45" s="255">
        <v>0</v>
      </c>
      <c r="P45" s="255">
        <v>0</v>
      </c>
      <c r="Q45" s="258">
        <v>0</v>
      </c>
      <c r="R45" s="183"/>
      <c r="S45" s="254">
        <v>12</v>
      </c>
      <c r="T45" s="255">
        <v>31</v>
      </c>
      <c r="U45" s="255">
        <v>58</v>
      </c>
      <c r="V45" s="258">
        <v>31</v>
      </c>
      <c r="W45" s="257">
        <v>12</v>
      </c>
      <c r="X45" s="255">
        <v>38</v>
      </c>
      <c r="Y45" s="255">
        <v>9</v>
      </c>
      <c r="Z45" s="256">
        <v>4</v>
      </c>
      <c r="AA45" s="257">
        <v>0</v>
      </c>
      <c r="AB45" s="255">
        <v>0</v>
      </c>
      <c r="AC45" s="255">
        <v>0</v>
      </c>
      <c r="AD45" s="258">
        <v>0</v>
      </c>
      <c r="AE45" s="183"/>
      <c r="AF45" s="254">
        <v>13</v>
      </c>
      <c r="AG45" s="255">
        <v>46</v>
      </c>
      <c r="AH45" s="255">
        <v>7</v>
      </c>
      <c r="AI45" s="256">
        <v>81</v>
      </c>
      <c r="AJ45" s="257">
        <v>13</v>
      </c>
      <c r="AK45" s="255">
        <v>51</v>
      </c>
      <c r="AL45" s="255">
        <v>20</v>
      </c>
      <c r="AM45" s="256">
        <v>85</v>
      </c>
      <c r="AN45" s="257">
        <v>0</v>
      </c>
      <c r="AO45" s="255">
        <v>0</v>
      </c>
      <c r="AP45" s="255">
        <v>0</v>
      </c>
      <c r="AQ45" s="258">
        <v>0</v>
      </c>
      <c r="AR45" s="183"/>
      <c r="AS45" s="254">
        <v>15</v>
      </c>
      <c r="AT45" s="255">
        <v>1</v>
      </c>
      <c r="AU45" s="255">
        <v>28</v>
      </c>
      <c r="AV45" s="256">
        <v>3</v>
      </c>
      <c r="AW45" s="257">
        <v>15</v>
      </c>
      <c r="AX45" s="255">
        <v>7</v>
      </c>
      <c r="AY45" s="255">
        <v>31</v>
      </c>
      <c r="AZ45" s="256">
        <v>86</v>
      </c>
      <c r="BA45" s="257">
        <v>0</v>
      </c>
      <c r="BB45" s="255">
        <v>0</v>
      </c>
      <c r="BC45" s="255">
        <v>0</v>
      </c>
      <c r="BD45" s="258">
        <v>0</v>
      </c>
      <c r="BE45" s="183"/>
      <c r="BF45" s="254">
        <v>15</v>
      </c>
      <c r="BG45" s="255">
        <v>34</v>
      </c>
      <c r="BH45" s="255">
        <v>46</v>
      </c>
      <c r="BI45" s="256">
        <v>86</v>
      </c>
      <c r="BJ45" s="257">
        <v>15</v>
      </c>
      <c r="BK45" s="255">
        <v>40</v>
      </c>
      <c r="BL45" s="255">
        <v>6</v>
      </c>
      <c r="BM45" s="256">
        <v>27</v>
      </c>
      <c r="BN45" s="257">
        <v>0</v>
      </c>
      <c r="BO45" s="255">
        <v>0</v>
      </c>
      <c r="BP45" s="255">
        <v>0</v>
      </c>
      <c r="BQ45" s="258">
        <v>0</v>
      </c>
      <c r="BR45" s="183"/>
      <c r="BS45" s="254">
        <v>0</v>
      </c>
      <c r="BT45" s="255">
        <v>0</v>
      </c>
      <c r="BU45" s="255">
        <v>0</v>
      </c>
      <c r="BV45" s="256">
        <v>0</v>
      </c>
      <c r="BW45" s="257">
        <v>0</v>
      </c>
      <c r="BX45" s="255">
        <v>0</v>
      </c>
      <c r="BY45" s="255">
        <v>0</v>
      </c>
      <c r="BZ45" s="256">
        <v>0</v>
      </c>
      <c r="CA45" s="257">
        <v>0</v>
      </c>
      <c r="CB45" s="255">
        <v>0</v>
      </c>
      <c r="CC45" s="255">
        <v>0</v>
      </c>
      <c r="CD45" s="258">
        <v>0</v>
      </c>
      <c r="CE45" s="183"/>
      <c r="CF45" s="254">
        <v>0</v>
      </c>
      <c r="CG45" s="255">
        <v>0</v>
      </c>
      <c r="CH45" s="255">
        <v>0</v>
      </c>
      <c r="CI45" s="258">
        <v>0</v>
      </c>
      <c r="CJ45" s="183"/>
      <c r="CK45" s="182">
        <v>35</v>
      </c>
      <c r="CL45" s="184" t="str">
        <f t="shared" si="6"/>
        <v>11:32:59,65</v>
      </c>
      <c r="CM45" s="185" t="str">
        <f t="shared" si="7"/>
        <v>11:38:20,73</v>
      </c>
      <c r="CN45" s="186" t="str">
        <f>IF(ISBLANK($E46),"",N45&amp;":"&amp;O45&amp;":"&amp;P45&amp;","&amp;Q45)</f>
        <v>0:0:0,0</v>
      </c>
      <c r="CO45" s="183"/>
      <c r="CP45" s="184" t="str">
        <f t="shared" si="24"/>
        <v>12:31:58,31</v>
      </c>
      <c r="CQ45" s="185" t="str">
        <f t="shared" si="25"/>
        <v>12:38:9,4</v>
      </c>
      <c r="CR45" s="186" t="str">
        <f t="shared" si="26"/>
        <v>0:0:0,0</v>
      </c>
      <c r="CS45" s="183"/>
      <c r="CT45" s="184" t="str">
        <f t="shared" si="27"/>
        <v>13:46:7,81</v>
      </c>
      <c r="CU45" s="185" t="str">
        <f t="shared" si="28"/>
        <v>13:51:20,85</v>
      </c>
      <c r="CV45" s="186" t="str">
        <f t="shared" si="29"/>
        <v>0:0:0,0</v>
      </c>
      <c r="CW45" s="183"/>
      <c r="CX45" s="184" t="str">
        <f t="shared" si="30"/>
        <v>15:1:28,3</v>
      </c>
      <c r="CY45" s="185" t="str">
        <f t="shared" si="31"/>
        <v>15:7:31,86</v>
      </c>
      <c r="CZ45" s="186" t="str">
        <f t="shared" si="32"/>
        <v>0:0:0,0</v>
      </c>
      <c r="DA45" s="183"/>
      <c r="DB45" s="184" t="str">
        <f t="shared" si="33"/>
        <v>15:34:46,86</v>
      </c>
      <c r="DC45" s="185" t="str">
        <f t="shared" si="34"/>
        <v>15:40:6,27</v>
      </c>
      <c r="DD45" s="186" t="str">
        <f t="shared" si="35"/>
        <v>0:0:0,0</v>
      </c>
      <c r="DE45" s="183"/>
      <c r="DF45" s="184" t="str">
        <f t="shared" si="36"/>
        <v>0:0:0,0</v>
      </c>
      <c r="DG45" s="185" t="str">
        <f t="shared" si="37"/>
        <v>0:0:0,0</v>
      </c>
      <c r="DH45" s="186" t="str">
        <f t="shared" si="38"/>
        <v>0:0:0,0</v>
      </c>
      <c r="DI45" s="183"/>
      <c r="DJ45" s="187" t="str">
        <f t="shared" si="39"/>
        <v>0:0:0,0</v>
      </c>
    </row>
    <row r="46" spans="2:114">
      <c r="B46" s="274">
        <f>IF(ISBLANK($E47),"",VLOOKUP($E47,Teilnehmer!$B$4:$K$199,2,0))</f>
        <v>2</v>
      </c>
      <c r="C46" s="190">
        <f>IF(ISBLANK($E47),"",VLOOKUP($E47,Teilnehmer!$B$4:$K$199,3,0))</f>
        <v>9</v>
      </c>
      <c r="D46" s="181" t="str">
        <f>IF(ISBLANK($E46),"",VLOOKUP($E46,Teilnehmer!$B$4:$K$199,4,0))</f>
        <v>Schwarz Timo</v>
      </c>
      <c r="E46" s="182">
        <v>36</v>
      </c>
      <c r="F46" s="218"/>
      <c r="G46" s="218"/>
      <c r="H46" s="218"/>
      <c r="I46" s="218"/>
      <c r="J46" s="218"/>
      <c r="K46" s="218"/>
      <c r="L46" s="218"/>
      <c r="M46" s="218"/>
      <c r="N46" s="257">
        <v>0</v>
      </c>
      <c r="O46" s="255">
        <v>0</v>
      </c>
      <c r="P46" s="255">
        <v>0</v>
      </c>
      <c r="Q46" s="258">
        <v>0</v>
      </c>
      <c r="R46" s="183"/>
      <c r="S46" s="218"/>
      <c r="T46" s="218"/>
      <c r="U46" s="218"/>
      <c r="V46" s="218"/>
      <c r="W46" s="218"/>
      <c r="X46" s="218"/>
      <c r="Y46" s="218"/>
      <c r="Z46" s="218"/>
      <c r="AA46" s="257">
        <v>0</v>
      </c>
      <c r="AB46" s="255">
        <v>0</v>
      </c>
      <c r="AC46" s="255">
        <v>0</v>
      </c>
      <c r="AD46" s="258">
        <v>0</v>
      </c>
      <c r="AE46" s="183"/>
      <c r="AF46" s="218"/>
      <c r="AG46" s="218"/>
      <c r="AH46" s="218"/>
      <c r="AI46" s="218"/>
      <c r="AJ46" s="218"/>
      <c r="AK46" s="218"/>
      <c r="AL46" s="218"/>
      <c r="AM46" s="218"/>
      <c r="AN46" s="257">
        <v>0</v>
      </c>
      <c r="AO46" s="255">
        <v>0</v>
      </c>
      <c r="AP46" s="255">
        <v>0</v>
      </c>
      <c r="AQ46" s="258">
        <v>0</v>
      </c>
      <c r="AR46" s="183"/>
      <c r="AS46" s="218"/>
      <c r="AT46" s="218"/>
      <c r="AU46" s="218"/>
      <c r="AV46" s="218"/>
      <c r="AW46" s="218"/>
      <c r="AX46" s="218"/>
      <c r="AY46" s="218"/>
      <c r="AZ46" s="218"/>
      <c r="BA46" s="257">
        <v>0</v>
      </c>
      <c r="BB46" s="255">
        <v>0</v>
      </c>
      <c r="BC46" s="255">
        <v>0</v>
      </c>
      <c r="BD46" s="258">
        <v>0</v>
      </c>
      <c r="BE46" s="183"/>
      <c r="BF46" s="218"/>
      <c r="BG46" s="218"/>
      <c r="BH46" s="218"/>
      <c r="BI46" s="218"/>
      <c r="BJ46" s="218"/>
      <c r="BK46" s="218"/>
      <c r="BL46" s="218"/>
      <c r="BM46" s="218"/>
      <c r="BN46" s="257">
        <v>0</v>
      </c>
      <c r="BO46" s="255">
        <v>0</v>
      </c>
      <c r="BP46" s="255">
        <v>0</v>
      </c>
      <c r="BQ46" s="258">
        <v>0</v>
      </c>
      <c r="BR46" s="183"/>
      <c r="BS46" s="254">
        <v>0</v>
      </c>
      <c r="BT46" s="255">
        <v>0</v>
      </c>
      <c r="BU46" s="255">
        <v>0</v>
      </c>
      <c r="BV46" s="256">
        <v>0</v>
      </c>
      <c r="BW46" s="257">
        <v>0</v>
      </c>
      <c r="BX46" s="255">
        <v>0</v>
      </c>
      <c r="BY46" s="255">
        <v>0</v>
      </c>
      <c r="BZ46" s="256">
        <v>0</v>
      </c>
      <c r="CA46" s="257">
        <v>0</v>
      </c>
      <c r="CB46" s="255">
        <v>0</v>
      </c>
      <c r="CC46" s="255">
        <v>0</v>
      </c>
      <c r="CD46" s="258">
        <v>0</v>
      </c>
      <c r="CE46" s="183"/>
      <c r="CF46" s="254">
        <v>0</v>
      </c>
      <c r="CG46" s="255">
        <v>0</v>
      </c>
      <c r="CH46" s="255">
        <v>0</v>
      </c>
      <c r="CI46" s="258">
        <v>0</v>
      </c>
      <c r="CJ46" s="183"/>
      <c r="CK46" s="182">
        <v>36</v>
      </c>
      <c r="CL46" s="184" t="str">
        <f t="shared" si="6"/>
        <v>::,</v>
      </c>
      <c r="CM46" s="185" t="str">
        <f t="shared" si="7"/>
        <v>::,</v>
      </c>
      <c r="CN46" s="186" t="str">
        <f>IF(ISBLANK($E47),"",N46&amp;":"&amp;O46&amp;":"&amp;P46&amp;","&amp;Q46)</f>
        <v>0:0:0,0</v>
      </c>
      <c r="CO46" s="183"/>
      <c r="CP46" s="184" t="str">
        <f t="shared" si="24"/>
        <v>::,</v>
      </c>
      <c r="CQ46" s="185" t="str">
        <f t="shared" si="25"/>
        <v>::,</v>
      </c>
      <c r="CR46" s="186" t="str">
        <f t="shared" si="26"/>
        <v>0:0:0,0</v>
      </c>
      <c r="CS46" s="183"/>
      <c r="CT46" s="184" t="str">
        <f t="shared" si="27"/>
        <v>::,</v>
      </c>
      <c r="CU46" s="185" t="str">
        <f t="shared" si="28"/>
        <v>::,</v>
      </c>
      <c r="CV46" s="186" t="str">
        <f t="shared" si="29"/>
        <v>0:0:0,0</v>
      </c>
      <c r="CW46" s="183"/>
      <c r="CX46" s="184" t="str">
        <f t="shared" si="30"/>
        <v>::,</v>
      </c>
      <c r="CY46" s="185" t="str">
        <f t="shared" si="31"/>
        <v>::,</v>
      </c>
      <c r="CZ46" s="186" t="str">
        <f t="shared" si="32"/>
        <v>0:0:0,0</v>
      </c>
      <c r="DA46" s="183"/>
      <c r="DB46" s="184" t="str">
        <f t="shared" si="33"/>
        <v>::,</v>
      </c>
      <c r="DC46" s="185" t="str">
        <f t="shared" si="34"/>
        <v>::,</v>
      </c>
      <c r="DD46" s="186" t="str">
        <f t="shared" si="35"/>
        <v>0:0:0,0</v>
      </c>
      <c r="DE46" s="183"/>
      <c r="DF46" s="184" t="str">
        <f t="shared" si="36"/>
        <v>0:0:0,0</v>
      </c>
      <c r="DG46" s="185" t="str">
        <f t="shared" si="37"/>
        <v>0:0:0,0</v>
      </c>
      <c r="DH46" s="186" t="str">
        <f t="shared" si="38"/>
        <v>0:0:0,0</v>
      </c>
      <c r="DI46" s="183"/>
      <c r="DJ46" s="187" t="str">
        <f t="shared" si="39"/>
        <v>0:0:0,0</v>
      </c>
    </row>
    <row r="47" spans="2:114">
      <c r="B47" s="274">
        <f>IF(ISBLANK($E48),"",VLOOKUP($E48,Teilnehmer!$B$4:$K$199,2,0))</f>
        <v>2</v>
      </c>
      <c r="C47" s="190">
        <f>IF(ISBLANK($E48),"",VLOOKUP($E48,Teilnehmer!$B$4:$K$199,3,0))</f>
        <v>9</v>
      </c>
      <c r="D47" s="181" t="str">
        <f>IF(ISBLANK($E47),"",VLOOKUP($E47,Teilnehmer!$B$4:$K$199,4,0))</f>
        <v>Kohl Bernd</v>
      </c>
      <c r="E47" s="182">
        <v>37</v>
      </c>
      <c r="F47" s="257">
        <v>11</v>
      </c>
      <c r="G47" s="255">
        <v>33</v>
      </c>
      <c r="H47" s="255">
        <v>43</v>
      </c>
      <c r="I47" s="258">
        <v>22</v>
      </c>
      <c r="J47" s="257">
        <v>11</v>
      </c>
      <c r="K47" s="255">
        <v>39</v>
      </c>
      <c r="L47" s="255">
        <v>35</v>
      </c>
      <c r="M47" s="258">
        <v>90</v>
      </c>
      <c r="N47" s="257">
        <v>0</v>
      </c>
      <c r="O47" s="255">
        <v>0</v>
      </c>
      <c r="P47" s="255">
        <v>0</v>
      </c>
      <c r="Q47" s="258">
        <v>0</v>
      </c>
      <c r="R47" s="183"/>
      <c r="S47" s="254">
        <v>12</v>
      </c>
      <c r="T47" s="255">
        <v>32</v>
      </c>
      <c r="U47" s="255">
        <v>19</v>
      </c>
      <c r="V47" s="258">
        <v>75</v>
      </c>
      <c r="W47" s="257">
        <v>12</v>
      </c>
      <c r="X47" s="255">
        <v>39</v>
      </c>
      <c r="Y47" s="255">
        <v>3</v>
      </c>
      <c r="Z47" s="256">
        <v>45</v>
      </c>
      <c r="AA47" s="257">
        <v>0</v>
      </c>
      <c r="AB47" s="255">
        <v>0</v>
      </c>
      <c r="AC47" s="255">
        <v>0</v>
      </c>
      <c r="AD47" s="258">
        <v>0</v>
      </c>
      <c r="AE47" s="183"/>
      <c r="AF47" s="254">
        <v>13</v>
      </c>
      <c r="AG47" s="255">
        <v>46</v>
      </c>
      <c r="AH47" s="255">
        <v>36</v>
      </c>
      <c r="AI47" s="256">
        <v>87</v>
      </c>
      <c r="AJ47" s="257">
        <v>13</v>
      </c>
      <c r="AK47" s="255">
        <v>52</v>
      </c>
      <c r="AL47" s="255">
        <v>26</v>
      </c>
      <c r="AM47" s="256">
        <v>9</v>
      </c>
      <c r="AN47" s="257">
        <v>0</v>
      </c>
      <c r="AO47" s="255">
        <v>0</v>
      </c>
      <c r="AP47" s="255">
        <v>0</v>
      </c>
      <c r="AQ47" s="258">
        <v>0</v>
      </c>
      <c r="AR47" s="183"/>
      <c r="AS47" s="254">
        <v>15</v>
      </c>
      <c r="AT47" s="255">
        <v>1</v>
      </c>
      <c r="AU47" s="255">
        <v>42</v>
      </c>
      <c r="AV47" s="256">
        <v>76</v>
      </c>
      <c r="AW47" s="257">
        <v>15</v>
      </c>
      <c r="AX47" s="255">
        <v>8</v>
      </c>
      <c r="AY47" s="255">
        <v>12</v>
      </c>
      <c r="AZ47" s="256">
        <v>97</v>
      </c>
      <c r="BA47" s="257">
        <v>0</v>
      </c>
      <c r="BB47" s="255">
        <v>0</v>
      </c>
      <c r="BC47" s="255">
        <v>0</v>
      </c>
      <c r="BD47" s="258">
        <v>0</v>
      </c>
      <c r="BE47" s="183"/>
      <c r="BF47" s="254">
        <v>15</v>
      </c>
      <c r="BG47" s="255">
        <v>35</v>
      </c>
      <c r="BH47" s="255">
        <v>32</v>
      </c>
      <c r="BI47" s="256">
        <v>32</v>
      </c>
      <c r="BJ47" s="257">
        <v>15</v>
      </c>
      <c r="BK47" s="255">
        <v>41</v>
      </c>
      <c r="BL47" s="255">
        <v>25</v>
      </c>
      <c r="BM47" s="256">
        <v>29</v>
      </c>
      <c r="BN47" s="257">
        <v>0</v>
      </c>
      <c r="BO47" s="255">
        <v>0</v>
      </c>
      <c r="BP47" s="255">
        <v>0</v>
      </c>
      <c r="BQ47" s="258">
        <v>0</v>
      </c>
      <c r="BR47" s="183"/>
      <c r="BS47" s="254">
        <v>0</v>
      </c>
      <c r="BT47" s="255">
        <v>0</v>
      </c>
      <c r="BU47" s="255">
        <v>0</v>
      </c>
      <c r="BV47" s="256">
        <v>0</v>
      </c>
      <c r="BW47" s="257">
        <v>0</v>
      </c>
      <c r="BX47" s="255">
        <v>0</v>
      </c>
      <c r="BY47" s="255">
        <v>0</v>
      </c>
      <c r="BZ47" s="256">
        <v>0</v>
      </c>
      <c r="CA47" s="257">
        <v>0</v>
      </c>
      <c r="CB47" s="255">
        <v>0</v>
      </c>
      <c r="CC47" s="255">
        <v>0</v>
      </c>
      <c r="CD47" s="258">
        <v>0</v>
      </c>
      <c r="CE47" s="183"/>
      <c r="CF47" s="254">
        <v>0</v>
      </c>
      <c r="CG47" s="255">
        <v>0</v>
      </c>
      <c r="CH47" s="255">
        <v>0</v>
      </c>
      <c r="CI47" s="258">
        <v>0</v>
      </c>
      <c r="CJ47" s="183"/>
      <c r="CK47" s="182">
        <v>37</v>
      </c>
      <c r="CL47" s="184" t="str">
        <f t="shared" si="6"/>
        <v>11:33:43,22</v>
      </c>
      <c r="CM47" s="185" t="str">
        <f t="shared" si="7"/>
        <v>11:39:35,90</v>
      </c>
      <c r="CN47" s="186" t="str">
        <f>IF(ISBLANK($E48),"",N47&amp;":"&amp;O47&amp;":"&amp;P47&amp;","&amp;Q47)</f>
        <v>0:0:0,0</v>
      </c>
      <c r="CO47" s="183"/>
      <c r="CP47" s="184" t="str">
        <f t="shared" si="24"/>
        <v>12:32:19,75</v>
      </c>
      <c r="CQ47" s="185" t="str">
        <f t="shared" si="25"/>
        <v>12:39:3,45</v>
      </c>
      <c r="CR47" s="186" t="str">
        <f t="shared" si="26"/>
        <v>0:0:0,0</v>
      </c>
      <c r="CS47" s="183"/>
      <c r="CT47" s="184" t="str">
        <f t="shared" si="27"/>
        <v>13:46:36,87</v>
      </c>
      <c r="CU47" s="185" t="str">
        <f t="shared" si="28"/>
        <v>13:52:26,9</v>
      </c>
      <c r="CV47" s="186" t="str">
        <f t="shared" si="29"/>
        <v>0:0:0,0</v>
      </c>
      <c r="CW47" s="183"/>
      <c r="CX47" s="184" t="str">
        <f t="shared" si="30"/>
        <v>15:1:42,76</v>
      </c>
      <c r="CY47" s="185" t="str">
        <f t="shared" si="31"/>
        <v>15:8:12,97</v>
      </c>
      <c r="CZ47" s="186" t="str">
        <f t="shared" si="32"/>
        <v>0:0:0,0</v>
      </c>
      <c r="DA47" s="183"/>
      <c r="DB47" s="184" t="str">
        <f t="shared" si="33"/>
        <v>15:35:32,32</v>
      </c>
      <c r="DC47" s="185" t="str">
        <f t="shared" si="34"/>
        <v>15:41:25,29</v>
      </c>
      <c r="DD47" s="186" t="str">
        <f t="shared" si="35"/>
        <v>0:0:0,0</v>
      </c>
      <c r="DE47" s="183"/>
      <c r="DF47" s="184" t="str">
        <f t="shared" si="36"/>
        <v>0:0:0,0</v>
      </c>
      <c r="DG47" s="185" t="str">
        <f t="shared" si="37"/>
        <v>0:0:0,0</v>
      </c>
      <c r="DH47" s="186" t="str">
        <f t="shared" si="38"/>
        <v>0:0:0,0</v>
      </c>
      <c r="DI47" s="183"/>
      <c r="DJ47" s="187" t="str">
        <f t="shared" si="39"/>
        <v>0:0:0,0</v>
      </c>
    </row>
    <row r="48" spans="2:114">
      <c r="B48" s="274">
        <f>IF(ISBLANK($E49),"",VLOOKUP($E49,Teilnehmer!$B$4:$K$199,2,0))</f>
        <v>2</v>
      </c>
      <c r="C48" s="190">
        <f>IF(ISBLANK($E49),"",VLOOKUP($E49,Teilnehmer!$B$4:$K$199,3,0))</f>
        <v>8</v>
      </c>
      <c r="D48" s="181" t="str">
        <f>IF(ISBLANK($E48),"",VLOOKUP($E48,Teilnehmer!$B$4:$K$199,4,0))</f>
        <v>Müller Moritz</v>
      </c>
      <c r="E48" s="182">
        <v>38</v>
      </c>
      <c r="F48" s="257">
        <v>11</v>
      </c>
      <c r="G48" s="255">
        <v>34</v>
      </c>
      <c r="H48" s="255">
        <v>49</v>
      </c>
      <c r="I48" s="258">
        <v>9</v>
      </c>
      <c r="J48" s="257">
        <v>11</v>
      </c>
      <c r="K48" s="255">
        <v>40</v>
      </c>
      <c r="L48" s="255">
        <v>31</v>
      </c>
      <c r="M48" s="258">
        <v>95</v>
      </c>
      <c r="N48" s="257">
        <v>0</v>
      </c>
      <c r="O48" s="255">
        <v>0</v>
      </c>
      <c r="P48" s="255">
        <v>30</v>
      </c>
      <c r="Q48" s="258">
        <v>0</v>
      </c>
      <c r="R48" s="183"/>
      <c r="S48" s="254">
        <v>12</v>
      </c>
      <c r="T48" s="255">
        <v>32</v>
      </c>
      <c r="U48" s="255">
        <v>41</v>
      </c>
      <c r="V48" s="258">
        <v>13</v>
      </c>
      <c r="W48" s="257">
        <v>12</v>
      </c>
      <c r="X48" s="255">
        <v>39</v>
      </c>
      <c r="Y48" s="255">
        <v>21</v>
      </c>
      <c r="Z48" s="256">
        <v>2</v>
      </c>
      <c r="AA48" s="257">
        <v>0</v>
      </c>
      <c r="AB48" s="255">
        <v>0</v>
      </c>
      <c r="AC48" s="255">
        <v>0</v>
      </c>
      <c r="AD48" s="258">
        <v>0</v>
      </c>
      <c r="AE48" s="183"/>
      <c r="AF48" s="254">
        <v>13</v>
      </c>
      <c r="AG48" s="255">
        <v>47</v>
      </c>
      <c r="AH48" s="255">
        <v>24</v>
      </c>
      <c r="AI48" s="256">
        <v>42</v>
      </c>
      <c r="AJ48" s="257">
        <v>13</v>
      </c>
      <c r="AK48" s="255">
        <v>52</v>
      </c>
      <c r="AL48" s="255">
        <v>51</v>
      </c>
      <c r="AM48" s="256">
        <v>36</v>
      </c>
      <c r="AN48" s="257">
        <v>0</v>
      </c>
      <c r="AO48" s="255">
        <v>0</v>
      </c>
      <c r="AP48" s="255">
        <v>0</v>
      </c>
      <c r="AQ48" s="258">
        <v>0</v>
      </c>
      <c r="AR48" s="183"/>
      <c r="AS48" s="254">
        <v>15</v>
      </c>
      <c r="AT48" s="255">
        <v>8</v>
      </c>
      <c r="AU48" s="255">
        <v>27</v>
      </c>
      <c r="AV48" s="256">
        <v>72</v>
      </c>
      <c r="AW48" s="257">
        <v>15</v>
      </c>
      <c r="AX48" s="255">
        <v>14</v>
      </c>
      <c r="AY48" s="255">
        <v>44</v>
      </c>
      <c r="AZ48" s="256">
        <v>54</v>
      </c>
      <c r="BA48" s="257">
        <v>0</v>
      </c>
      <c r="BB48" s="255">
        <v>0</v>
      </c>
      <c r="BC48" s="255">
        <v>0</v>
      </c>
      <c r="BD48" s="258">
        <v>0</v>
      </c>
      <c r="BE48" s="183"/>
      <c r="BF48" s="254">
        <v>15</v>
      </c>
      <c r="BG48" s="255">
        <v>39</v>
      </c>
      <c r="BH48" s="255">
        <v>25</v>
      </c>
      <c r="BI48" s="256">
        <v>15</v>
      </c>
      <c r="BJ48" s="257">
        <v>15</v>
      </c>
      <c r="BK48" s="255">
        <v>44</v>
      </c>
      <c r="BL48" s="255">
        <v>44</v>
      </c>
      <c r="BM48" s="256">
        <v>64</v>
      </c>
      <c r="BN48" s="257">
        <v>0</v>
      </c>
      <c r="BO48" s="255">
        <v>0</v>
      </c>
      <c r="BP48" s="255">
        <v>0</v>
      </c>
      <c r="BQ48" s="258">
        <v>0</v>
      </c>
      <c r="BR48" s="183"/>
      <c r="BS48" s="254">
        <v>0</v>
      </c>
      <c r="BT48" s="255">
        <v>0</v>
      </c>
      <c r="BU48" s="255">
        <v>0</v>
      </c>
      <c r="BV48" s="256">
        <v>0</v>
      </c>
      <c r="BW48" s="257">
        <v>0</v>
      </c>
      <c r="BX48" s="255">
        <v>0</v>
      </c>
      <c r="BY48" s="255">
        <v>0</v>
      </c>
      <c r="BZ48" s="256">
        <v>0</v>
      </c>
      <c r="CA48" s="257">
        <v>0</v>
      </c>
      <c r="CB48" s="255">
        <v>0</v>
      </c>
      <c r="CC48" s="255">
        <v>0</v>
      </c>
      <c r="CD48" s="258">
        <v>0</v>
      </c>
      <c r="CE48" s="183"/>
      <c r="CF48" s="254">
        <v>0</v>
      </c>
      <c r="CG48" s="255">
        <v>0</v>
      </c>
      <c r="CH48" s="255">
        <v>0</v>
      </c>
      <c r="CI48" s="258">
        <v>0</v>
      </c>
      <c r="CJ48" s="183"/>
      <c r="CK48" s="182">
        <v>38</v>
      </c>
      <c r="CL48" s="184" t="str">
        <f t="shared" si="6"/>
        <v>11:34:49,9</v>
      </c>
      <c r="CM48" s="185" t="str">
        <f t="shared" si="7"/>
        <v>11:40:31,95</v>
      </c>
      <c r="CN48" s="186" t="str">
        <f>IF(ISBLANK($E49),"",N48&amp;":"&amp;O48&amp;":"&amp;P48&amp;","&amp;Q48)</f>
        <v>0:0:30,0</v>
      </c>
      <c r="CO48" s="183"/>
      <c r="CP48" s="184" t="str">
        <f t="shared" si="24"/>
        <v>12:32:41,13</v>
      </c>
      <c r="CQ48" s="185" t="str">
        <f t="shared" si="25"/>
        <v>12:39:21,2</v>
      </c>
      <c r="CR48" s="186" t="str">
        <f t="shared" si="26"/>
        <v>0:0:0,0</v>
      </c>
      <c r="CS48" s="183"/>
      <c r="CT48" s="184" t="str">
        <f t="shared" si="27"/>
        <v>13:47:24,42</v>
      </c>
      <c r="CU48" s="185" t="str">
        <f t="shared" si="28"/>
        <v>13:52:51,36</v>
      </c>
      <c r="CV48" s="186" t="str">
        <f t="shared" si="29"/>
        <v>0:0:0,0</v>
      </c>
      <c r="CW48" s="183"/>
      <c r="CX48" s="184" t="str">
        <f t="shared" si="30"/>
        <v>15:8:27,72</v>
      </c>
      <c r="CY48" s="185" t="str">
        <f t="shared" si="31"/>
        <v>15:14:44,54</v>
      </c>
      <c r="CZ48" s="186" t="str">
        <f t="shared" si="32"/>
        <v>0:0:0,0</v>
      </c>
      <c r="DA48" s="183"/>
      <c r="DB48" s="184" t="str">
        <f t="shared" si="33"/>
        <v>15:39:25,15</v>
      </c>
      <c r="DC48" s="185" t="str">
        <f t="shared" si="34"/>
        <v>15:44:44,64</v>
      </c>
      <c r="DD48" s="186" t="str">
        <f t="shared" si="35"/>
        <v>0:0:0,0</v>
      </c>
      <c r="DE48" s="183"/>
      <c r="DF48" s="184" t="str">
        <f t="shared" si="36"/>
        <v>0:0:0,0</v>
      </c>
      <c r="DG48" s="185" t="str">
        <f t="shared" si="37"/>
        <v>0:0:0,0</v>
      </c>
      <c r="DH48" s="186" t="str">
        <f t="shared" si="38"/>
        <v>0:0:0,0</v>
      </c>
      <c r="DI48" s="183"/>
      <c r="DJ48" s="187" t="str">
        <f t="shared" si="39"/>
        <v>0:0:0,0</v>
      </c>
    </row>
    <row r="49" spans="2:114">
      <c r="B49" s="274">
        <f>IF(ISBLANK($E50),"",VLOOKUP($E50,Teilnehmer!$B$4:$K$199,2,0))</f>
        <v>2</v>
      </c>
      <c r="C49" s="190">
        <f>IF(ISBLANK($E50),"",VLOOKUP($E50,Teilnehmer!$B$4:$K$199,3,0))</f>
        <v>8</v>
      </c>
      <c r="D49" s="181" t="str">
        <f>IF(ISBLANK($E49),"",VLOOKUP($E49,Teilnehmer!$B$4:$K$199,4,0))</f>
        <v>Bruchhäuser Gil</v>
      </c>
      <c r="E49" s="182">
        <v>39</v>
      </c>
      <c r="F49" s="257">
        <v>11</v>
      </c>
      <c r="G49" s="255">
        <v>35</v>
      </c>
      <c r="H49" s="255">
        <v>21</v>
      </c>
      <c r="I49" s="258">
        <v>25</v>
      </c>
      <c r="J49" s="257">
        <v>11</v>
      </c>
      <c r="K49" s="255">
        <v>40</v>
      </c>
      <c r="L49" s="255">
        <v>49</v>
      </c>
      <c r="M49" s="258">
        <v>58</v>
      </c>
      <c r="N49" s="257">
        <v>0</v>
      </c>
      <c r="O49" s="255">
        <v>0</v>
      </c>
      <c r="P49" s="255">
        <v>0</v>
      </c>
      <c r="Q49" s="258">
        <v>0</v>
      </c>
      <c r="R49" s="183"/>
      <c r="S49" s="254">
        <v>12</v>
      </c>
      <c r="T49" s="255">
        <v>32</v>
      </c>
      <c r="U49" s="255">
        <v>59</v>
      </c>
      <c r="V49" s="258">
        <v>80</v>
      </c>
      <c r="W49" s="257">
        <v>12</v>
      </c>
      <c r="X49" s="255">
        <v>39</v>
      </c>
      <c r="Y49" s="255">
        <v>16</v>
      </c>
      <c r="Z49" s="256">
        <v>90</v>
      </c>
      <c r="AA49" s="257">
        <v>0</v>
      </c>
      <c r="AB49" s="255">
        <v>0</v>
      </c>
      <c r="AC49" s="255">
        <v>0</v>
      </c>
      <c r="AD49" s="258">
        <v>0</v>
      </c>
      <c r="AE49" s="183"/>
      <c r="AF49" s="254">
        <v>13</v>
      </c>
      <c r="AG49" s="255">
        <v>47</v>
      </c>
      <c r="AH49" s="255">
        <v>58</v>
      </c>
      <c r="AI49" s="256">
        <v>86</v>
      </c>
      <c r="AJ49" s="257">
        <v>13</v>
      </c>
      <c r="AK49" s="255">
        <v>53</v>
      </c>
      <c r="AL49" s="255">
        <v>23</v>
      </c>
      <c r="AM49" s="256">
        <v>93</v>
      </c>
      <c r="AN49" s="257">
        <v>0</v>
      </c>
      <c r="AO49" s="255">
        <v>0</v>
      </c>
      <c r="AP49" s="255">
        <v>0</v>
      </c>
      <c r="AQ49" s="258">
        <v>0</v>
      </c>
      <c r="AR49" s="183"/>
      <c r="AS49" s="254">
        <v>15</v>
      </c>
      <c r="AT49" s="255">
        <v>8</v>
      </c>
      <c r="AU49" s="255">
        <v>56</v>
      </c>
      <c r="AV49" s="256">
        <v>96</v>
      </c>
      <c r="AW49" s="257">
        <v>15</v>
      </c>
      <c r="AX49" s="255">
        <v>14</v>
      </c>
      <c r="AY49" s="255">
        <v>55</v>
      </c>
      <c r="AZ49" s="256">
        <v>96</v>
      </c>
      <c r="BA49" s="257">
        <v>0</v>
      </c>
      <c r="BB49" s="255">
        <v>0</v>
      </c>
      <c r="BC49" s="255">
        <v>0</v>
      </c>
      <c r="BD49" s="258">
        <v>0</v>
      </c>
      <c r="BE49" s="183"/>
      <c r="BF49" s="254">
        <v>15</v>
      </c>
      <c r="BG49" s="255">
        <v>40</v>
      </c>
      <c r="BH49" s="255">
        <v>32</v>
      </c>
      <c r="BI49" s="256">
        <v>83</v>
      </c>
      <c r="BJ49" s="257">
        <v>15</v>
      </c>
      <c r="BK49" s="255">
        <v>45</v>
      </c>
      <c r="BL49" s="255">
        <v>50</v>
      </c>
      <c r="BM49" s="256">
        <v>86</v>
      </c>
      <c r="BN49" s="257">
        <v>0</v>
      </c>
      <c r="BO49" s="255">
        <v>0</v>
      </c>
      <c r="BP49" s="255">
        <v>0</v>
      </c>
      <c r="BQ49" s="258">
        <v>0</v>
      </c>
      <c r="BR49" s="183"/>
      <c r="BS49" s="254">
        <v>0</v>
      </c>
      <c r="BT49" s="255">
        <v>0</v>
      </c>
      <c r="BU49" s="255">
        <v>0</v>
      </c>
      <c r="BV49" s="256">
        <v>0</v>
      </c>
      <c r="BW49" s="257">
        <v>0</v>
      </c>
      <c r="BX49" s="255">
        <v>0</v>
      </c>
      <c r="BY49" s="255">
        <v>0</v>
      </c>
      <c r="BZ49" s="256">
        <v>0</v>
      </c>
      <c r="CA49" s="257">
        <v>0</v>
      </c>
      <c r="CB49" s="255">
        <v>0</v>
      </c>
      <c r="CC49" s="255">
        <v>0</v>
      </c>
      <c r="CD49" s="258">
        <v>0</v>
      </c>
      <c r="CE49" s="183"/>
      <c r="CF49" s="254">
        <v>0</v>
      </c>
      <c r="CG49" s="255">
        <v>0</v>
      </c>
      <c r="CH49" s="255">
        <v>0</v>
      </c>
      <c r="CI49" s="258">
        <v>0</v>
      </c>
      <c r="CJ49" s="183"/>
      <c r="CK49" s="182">
        <v>39</v>
      </c>
      <c r="CL49" s="184" t="str">
        <f t="shared" si="6"/>
        <v>11:35:21,25</v>
      </c>
      <c r="CM49" s="185" t="str">
        <f t="shared" si="7"/>
        <v>11:40:49,58</v>
      </c>
      <c r="CN49" s="186" t="str">
        <f>IF(ISBLANK($E50),"",N49&amp;":"&amp;O49&amp;":"&amp;P49&amp;","&amp;Q49)</f>
        <v>0:0:0,0</v>
      </c>
      <c r="CO49" s="183"/>
      <c r="CP49" s="184" t="str">
        <f t="shared" si="24"/>
        <v>12:32:59,80</v>
      </c>
      <c r="CQ49" s="185" t="str">
        <f t="shared" si="25"/>
        <v>12:39:16,90</v>
      </c>
      <c r="CR49" s="186" t="str">
        <f t="shared" si="26"/>
        <v>0:0:0,0</v>
      </c>
      <c r="CS49" s="183"/>
      <c r="CT49" s="184" t="str">
        <f t="shared" si="27"/>
        <v>13:47:58,86</v>
      </c>
      <c r="CU49" s="185" t="str">
        <f t="shared" si="28"/>
        <v>13:53:23,93</v>
      </c>
      <c r="CV49" s="186" t="str">
        <f t="shared" si="29"/>
        <v>0:0:0,0</v>
      </c>
      <c r="CW49" s="183"/>
      <c r="CX49" s="184" t="str">
        <f t="shared" si="30"/>
        <v>15:8:56,96</v>
      </c>
      <c r="CY49" s="185" t="str">
        <f t="shared" si="31"/>
        <v>15:14:55,96</v>
      </c>
      <c r="CZ49" s="186" t="str">
        <f t="shared" si="32"/>
        <v>0:0:0,0</v>
      </c>
      <c r="DA49" s="183"/>
      <c r="DB49" s="184" t="str">
        <f t="shared" si="33"/>
        <v>15:40:32,83</v>
      </c>
      <c r="DC49" s="185" t="str">
        <f t="shared" si="34"/>
        <v>15:45:50,86</v>
      </c>
      <c r="DD49" s="186" t="str">
        <f t="shared" si="35"/>
        <v>0:0:0,0</v>
      </c>
      <c r="DE49" s="183"/>
      <c r="DF49" s="184" t="str">
        <f t="shared" si="36"/>
        <v>0:0:0,0</v>
      </c>
      <c r="DG49" s="185" t="str">
        <f t="shared" si="37"/>
        <v>0:0:0,0</v>
      </c>
      <c r="DH49" s="186" t="str">
        <f t="shared" si="38"/>
        <v>0:0:0,0</v>
      </c>
      <c r="DI49" s="183"/>
      <c r="DJ49" s="187" t="str">
        <f t="shared" si="39"/>
        <v>0:0:0,0</v>
      </c>
    </row>
    <row r="50" spans="2:114">
      <c r="B50" s="274">
        <f>IF(ISBLANK($E51),"",VLOOKUP($E51,Teilnehmer!$B$4:$K$199,2,0))</f>
        <v>2</v>
      </c>
      <c r="C50" s="190">
        <f>IF(ISBLANK($E51),"",VLOOKUP($E51,Teilnehmer!$B$4:$K$199,3,0))</f>
        <v>8</v>
      </c>
      <c r="D50" s="181" t="str">
        <f>IF(ISBLANK($E50),"",VLOOKUP($E50,Teilnehmer!$B$4:$K$199,4,0))</f>
        <v>Preis Gerhard</v>
      </c>
      <c r="E50" s="182">
        <v>40</v>
      </c>
      <c r="F50" s="257">
        <v>11</v>
      </c>
      <c r="G50" s="255">
        <v>36</v>
      </c>
      <c r="H50" s="255">
        <v>16</v>
      </c>
      <c r="I50" s="258">
        <v>15</v>
      </c>
      <c r="J50" s="257">
        <v>11</v>
      </c>
      <c r="K50" s="255">
        <v>42</v>
      </c>
      <c r="L50" s="255">
        <v>2</v>
      </c>
      <c r="M50" s="258">
        <v>12</v>
      </c>
      <c r="N50" s="257">
        <v>0</v>
      </c>
      <c r="O50" s="255">
        <v>0</v>
      </c>
      <c r="P50" s="255">
        <v>0</v>
      </c>
      <c r="Q50" s="258">
        <v>0</v>
      </c>
      <c r="R50" s="183"/>
      <c r="S50" s="254">
        <v>12</v>
      </c>
      <c r="T50" s="255">
        <v>33</v>
      </c>
      <c r="U50" s="255">
        <v>23</v>
      </c>
      <c r="V50" s="258">
        <v>53</v>
      </c>
      <c r="W50" s="257">
        <v>12</v>
      </c>
      <c r="X50" s="255">
        <v>39</v>
      </c>
      <c r="Y50" s="255">
        <v>54</v>
      </c>
      <c r="Z50" s="256">
        <v>56</v>
      </c>
      <c r="AA50" s="257">
        <v>0</v>
      </c>
      <c r="AB50" s="255">
        <v>0</v>
      </c>
      <c r="AC50" s="255">
        <v>0</v>
      </c>
      <c r="AD50" s="258">
        <v>0</v>
      </c>
      <c r="AE50" s="183"/>
      <c r="AF50" s="254">
        <v>13</v>
      </c>
      <c r="AG50" s="255">
        <v>50</v>
      </c>
      <c r="AH50" s="255">
        <v>28</v>
      </c>
      <c r="AI50" s="256">
        <v>0</v>
      </c>
      <c r="AJ50" s="257">
        <v>13</v>
      </c>
      <c r="AK50" s="255">
        <v>56</v>
      </c>
      <c r="AL50" s="255">
        <v>9</v>
      </c>
      <c r="AM50" s="256">
        <v>75</v>
      </c>
      <c r="AN50" s="257">
        <v>0</v>
      </c>
      <c r="AO50" s="255">
        <v>0</v>
      </c>
      <c r="AP50" s="255">
        <v>0</v>
      </c>
      <c r="AQ50" s="258">
        <v>0</v>
      </c>
      <c r="AR50" s="183"/>
      <c r="AS50" s="254">
        <v>15</v>
      </c>
      <c r="AT50" s="255">
        <v>9</v>
      </c>
      <c r="AU50" s="255">
        <v>14</v>
      </c>
      <c r="AV50" s="256">
        <v>87</v>
      </c>
      <c r="AW50" s="257">
        <v>15</v>
      </c>
      <c r="AX50" s="255">
        <v>15</v>
      </c>
      <c r="AY50" s="255">
        <v>37</v>
      </c>
      <c r="AZ50" s="256">
        <v>12</v>
      </c>
      <c r="BA50" s="257">
        <v>0</v>
      </c>
      <c r="BB50" s="255">
        <v>0</v>
      </c>
      <c r="BC50" s="255">
        <v>0</v>
      </c>
      <c r="BD50" s="258">
        <v>0</v>
      </c>
      <c r="BE50" s="183"/>
      <c r="BF50" s="254">
        <v>15</v>
      </c>
      <c r="BG50" s="255">
        <v>41</v>
      </c>
      <c r="BH50" s="255">
        <v>50</v>
      </c>
      <c r="BI50" s="256">
        <v>93</v>
      </c>
      <c r="BJ50" s="257">
        <v>15</v>
      </c>
      <c r="BK50" s="255">
        <v>47</v>
      </c>
      <c r="BL50" s="255">
        <v>31</v>
      </c>
      <c r="BM50" s="256">
        <v>41</v>
      </c>
      <c r="BN50" s="257">
        <v>0</v>
      </c>
      <c r="BO50" s="255">
        <v>0</v>
      </c>
      <c r="BP50" s="255">
        <v>0</v>
      </c>
      <c r="BQ50" s="258">
        <v>0</v>
      </c>
      <c r="BR50" s="183"/>
      <c r="BS50" s="254">
        <v>0</v>
      </c>
      <c r="BT50" s="255">
        <v>0</v>
      </c>
      <c r="BU50" s="255">
        <v>0</v>
      </c>
      <c r="BV50" s="256">
        <v>0</v>
      </c>
      <c r="BW50" s="257">
        <v>0</v>
      </c>
      <c r="BX50" s="255">
        <v>0</v>
      </c>
      <c r="BY50" s="255">
        <v>0</v>
      </c>
      <c r="BZ50" s="256">
        <v>0</v>
      </c>
      <c r="CA50" s="257">
        <v>0</v>
      </c>
      <c r="CB50" s="255">
        <v>0</v>
      </c>
      <c r="CC50" s="255">
        <v>0</v>
      </c>
      <c r="CD50" s="258">
        <v>0</v>
      </c>
      <c r="CE50" s="183"/>
      <c r="CF50" s="254">
        <v>0</v>
      </c>
      <c r="CG50" s="255">
        <v>0</v>
      </c>
      <c r="CH50" s="255">
        <v>0</v>
      </c>
      <c r="CI50" s="258">
        <v>0</v>
      </c>
      <c r="CJ50" s="183"/>
      <c r="CK50" s="182">
        <v>40</v>
      </c>
      <c r="CL50" s="184" t="str">
        <f t="shared" si="6"/>
        <v>11:36:16,15</v>
      </c>
      <c r="CM50" s="185" t="str">
        <f t="shared" si="7"/>
        <v>11:42:2,12</v>
      </c>
      <c r="CN50" s="186" t="str">
        <f>IF(ISBLANK($E51),"",N50&amp;":"&amp;O50&amp;":"&amp;P50&amp;","&amp;Q50)</f>
        <v>0:0:0,0</v>
      </c>
      <c r="CO50" s="183"/>
      <c r="CP50" s="184" t="str">
        <f t="shared" si="24"/>
        <v>12:33:23,53</v>
      </c>
      <c r="CQ50" s="185" t="str">
        <f t="shared" si="25"/>
        <v>12:39:54,56</v>
      </c>
      <c r="CR50" s="186" t="str">
        <f t="shared" si="26"/>
        <v>0:0:0,0</v>
      </c>
      <c r="CS50" s="183"/>
      <c r="CT50" s="184" t="str">
        <f t="shared" si="27"/>
        <v>13:50:28,0</v>
      </c>
      <c r="CU50" s="185" t="str">
        <f t="shared" si="28"/>
        <v>13:56:9,75</v>
      </c>
      <c r="CV50" s="186" t="str">
        <f t="shared" si="29"/>
        <v>0:0:0,0</v>
      </c>
      <c r="CW50" s="183"/>
      <c r="CX50" s="184" t="str">
        <f t="shared" si="30"/>
        <v>15:9:14,87</v>
      </c>
      <c r="CY50" s="185" t="str">
        <f t="shared" si="31"/>
        <v>15:15:37,12</v>
      </c>
      <c r="CZ50" s="186" t="str">
        <f t="shared" si="32"/>
        <v>0:0:0,0</v>
      </c>
      <c r="DA50" s="183"/>
      <c r="DB50" s="184" t="str">
        <f t="shared" si="33"/>
        <v>15:41:50,93</v>
      </c>
      <c r="DC50" s="185" t="str">
        <f t="shared" si="34"/>
        <v>15:47:31,41</v>
      </c>
      <c r="DD50" s="186" t="str">
        <f t="shared" si="35"/>
        <v>0:0:0,0</v>
      </c>
      <c r="DE50" s="183"/>
      <c r="DF50" s="184" t="str">
        <f t="shared" si="36"/>
        <v>0:0:0,0</v>
      </c>
      <c r="DG50" s="185" t="str">
        <f t="shared" si="37"/>
        <v>0:0:0,0</v>
      </c>
      <c r="DH50" s="186" t="str">
        <f t="shared" si="38"/>
        <v>0:0:0,0</v>
      </c>
      <c r="DI50" s="183"/>
      <c r="DJ50" s="187" t="str">
        <f t="shared" si="39"/>
        <v>0:0:0,0</v>
      </c>
    </row>
    <row r="51" spans="2:114">
      <c r="B51" s="274">
        <f>IF(ISBLANK($E52),"",VLOOKUP($E52,Teilnehmer!$B$4:$K$199,2,0))</f>
        <v>2</v>
      </c>
      <c r="C51" s="190">
        <f>IF(ISBLANK($E52),"",VLOOKUP($E52,Teilnehmer!$B$4:$K$199,3,0))</f>
        <v>9</v>
      </c>
      <c r="D51" s="181" t="str">
        <f>IF(ISBLANK($E51),"",VLOOKUP($E51,Teilnehmer!$B$4:$K$199,4,0))</f>
        <v>Lange Kay Mario Oliver</v>
      </c>
      <c r="E51" s="182">
        <v>41</v>
      </c>
      <c r="F51" s="257">
        <v>11</v>
      </c>
      <c r="G51" s="255">
        <v>36</v>
      </c>
      <c r="H51" s="255">
        <v>51</v>
      </c>
      <c r="I51" s="258">
        <v>72</v>
      </c>
      <c r="J51" s="257">
        <v>11</v>
      </c>
      <c r="K51" s="255">
        <v>45</v>
      </c>
      <c r="L51" s="255">
        <v>27</v>
      </c>
      <c r="M51" s="258">
        <v>8</v>
      </c>
      <c r="N51" s="257">
        <v>0</v>
      </c>
      <c r="O51" s="255">
        <v>0</v>
      </c>
      <c r="P51" s="255">
        <v>0</v>
      </c>
      <c r="Q51" s="258">
        <v>0</v>
      </c>
      <c r="R51" s="183"/>
      <c r="S51" s="254">
        <v>12</v>
      </c>
      <c r="T51" s="255">
        <v>38</v>
      </c>
      <c r="U51" s="255">
        <v>24</v>
      </c>
      <c r="V51" s="258">
        <v>55</v>
      </c>
      <c r="W51" s="257">
        <v>12</v>
      </c>
      <c r="X51" s="255">
        <v>45</v>
      </c>
      <c r="Y51" s="255">
        <v>25</v>
      </c>
      <c r="Z51" s="256">
        <v>40</v>
      </c>
      <c r="AA51" s="257">
        <v>0</v>
      </c>
      <c r="AB51" s="255">
        <v>0</v>
      </c>
      <c r="AC51" s="255">
        <v>0</v>
      </c>
      <c r="AD51" s="258">
        <v>0</v>
      </c>
      <c r="AE51" s="183"/>
      <c r="AF51" s="254">
        <v>13</v>
      </c>
      <c r="AG51" s="255">
        <v>50</v>
      </c>
      <c r="AH51" s="255">
        <v>49</v>
      </c>
      <c r="AI51" s="256">
        <v>68</v>
      </c>
      <c r="AJ51" s="257">
        <v>13</v>
      </c>
      <c r="AK51" s="255">
        <v>56</v>
      </c>
      <c r="AL51" s="255">
        <v>52</v>
      </c>
      <c r="AM51" s="256">
        <v>32</v>
      </c>
      <c r="AN51" s="257">
        <v>0</v>
      </c>
      <c r="AO51" s="255">
        <v>0</v>
      </c>
      <c r="AP51" s="255">
        <v>0</v>
      </c>
      <c r="AQ51" s="258">
        <v>0</v>
      </c>
      <c r="AR51" s="183"/>
      <c r="AS51" s="254">
        <v>15</v>
      </c>
      <c r="AT51" s="255">
        <v>9</v>
      </c>
      <c r="AU51" s="255">
        <v>41</v>
      </c>
      <c r="AV51" s="256">
        <v>61</v>
      </c>
      <c r="AW51" s="257">
        <v>15</v>
      </c>
      <c r="AX51" s="255">
        <v>16</v>
      </c>
      <c r="AY51" s="255">
        <v>27</v>
      </c>
      <c r="AZ51" s="256">
        <v>20</v>
      </c>
      <c r="BA51" s="257">
        <v>0</v>
      </c>
      <c r="BB51" s="255">
        <v>0</v>
      </c>
      <c r="BC51" s="255">
        <v>0</v>
      </c>
      <c r="BD51" s="258">
        <v>0</v>
      </c>
      <c r="BE51" s="183"/>
      <c r="BF51" s="254">
        <v>15</v>
      </c>
      <c r="BG51" s="255">
        <v>42</v>
      </c>
      <c r="BH51" s="255">
        <v>52</v>
      </c>
      <c r="BI51" s="256">
        <v>20</v>
      </c>
      <c r="BJ51" s="257">
        <v>15</v>
      </c>
      <c r="BK51" s="255">
        <v>48</v>
      </c>
      <c r="BL51" s="255">
        <v>54</v>
      </c>
      <c r="BM51" s="256">
        <v>38</v>
      </c>
      <c r="BN51" s="257">
        <v>0</v>
      </c>
      <c r="BO51" s="255">
        <v>0</v>
      </c>
      <c r="BP51" s="255">
        <v>0</v>
      </c>
      <c r="BQ51" s="258">
        <v>0</v>
      </c>
      <c r="BR51" s="183"/>
      <c r="BS51" s="254">
        <v>0</v>
      </c>
      <c r="BT51" s="255">
        <v>0</v>
      </c>
      <c r="BU51" s="255">
        <v>0</v>
      </c>
      <c r="BV51" s="256">
        <v>0</v>
      </c>
      <c r="BW51" s="257">
        <v>0</v>
      </c>
      <c r="BX51" s="255">
        <v>0</v>
      </c>
      <c r="BY51" s="255">
        <v>0</v>
      </c>
      <c r="BZ51" s="256">
        <v>0</v>
      </c>
      <c r="CA51" s="257">
        <v>0</v>
      </c>
      <c r="CB51" s="255">
        <v>0</v>
      </c>
      <c r="CC51" s="255">
        <v>0</v>
      </c>
      <c r="CD51" s="258">
        <v>0</v>
      </c>
      <c r="CE51" s="183"/>
      <c r="CF51" s="254">
        <v>0</v>
      </c>
      <c r="CG51" s="255">
        <v>0</v>
      </c>
      <c r="CH51" s="255">
        <v>0</v>
      </c>
      <c r="CI51" s="258">
        <v>0</v>
      </c>
      <c r="CJ51" s="183"/>
      <c r="CK51" s="182">
        <v>41</v>
      </c>
      <c r="CL51" s="184" t="str">
        <f t="shared" si="6"/>
        <v>11:36:51,72</v>
      </c>
      <c r="CM51" s="185" t="str">
        <f t="shared" si="7"/>
        <v>11:45:27,8</v>
      </c>
      <c r="CN51" s="186" t="str">
        <f>IF(ISBLANK($E52),"",N51&amp;":"&amp;O51&amp;":"&amp;P51&amp;","&amp;Q51)</f>
        <v>0:0:0,0</v>
      </c>
      <c r="CO51" s="183"/>
      <c r="CP51" s="184" t="str">
        <f t="shared" si="24"/>
        <v>12:38:24,55</v>
      </c>
      <c r="CQ51" s="185" t="str">
        <f t="shared" si="25"/>
        <v>12:45:25,40</v>
      </c>
      <c r="CR51" s="186" t="str">
        <f t="shared" si="26"/>
        <v>0:0:0,0</v>
      </c>
      <c r="CS51" s="183"/>
      <c r="CT51" s="184" t="str">
        <f t="shared" si="27"/>
        <v>13:50:49,68</v>
      </c>
      <c r="CU51" s="185" t="str">
        <f t="shared" si="28"/>
        <v>13:56:52,32</v>
      </c>
      <c r="CV51" s="186" t="str">
        <f t="shared" si="29"/>
        <v>0:0:0,0</v>
      </c>
      <c r="CW51" s="183"/>
      <c r="CX51" s="184" t="str">
        <f t="shared" si="30"/>
        <v>15:9:41,61</v>
      </c>
      <c r="CY51" s="185" t="str">
        <f t="shared" si="31"/>
        <v>15:16:27,20</v>
      </c>
      <c r="CZ51" s="186" t="str">
        <f t="shared" si="32"/>
        <v>0:0:0,0</v>
      </c>
      <c r="DA51" s="183"/>
      <c r="DB51" s="184" t="str">
        <f t="shared" si="33"/>
        <v>15:42:52,20</v>
      </c>
      <c r="DC51" s="185" t="str">
        <f t="shared" si="34"/>
        <v>15:48:54,38</v>
      </c>
      <c r="DD51" s="186" t="str">
        <f t="shared" si="35"/>
        <v>0:0:0,0</v>
      </c>
      <c r="DE51" s="183"/>
      <c r="DF51" s="184" t="str">
        <f t="shared" si="36"/>
        <v>0:0:0,0</v>
      </c>
      <c r="DG51" s="185" t="str">
        <f t="shared" si="37"/>
        <v>0:0:0,0</v>
      </c>
      <c r="DH51" s="186" t="str">
        <f t="shared" si="38"/>
        <v>0:0:0,0</v>
      </c>
      <c r="DI51" s="183"/>
      <c r="DJ51" s="187" t="str">
        <f t="shared" si="39"/>
        <v>0:0:0,0</v>
      </c>
    </row>
    <row r="52" spans="2:114">
      <c r="B52" s="274">
        <f>IF(ISBLANK($E53),"",VLOOKUP($E53,Teilnehmer!$B$4:$K$199,2,0))</f>
        <v>2</v>
      </c>
      <c r="C52" s="190">
        <f>IF(ISBLANK($E53),"",VLOOKUP($E53,Teilnehmer!$B$4:$K$199,3,0))</f>
        <v>8</v>
      </c>
      <c r="D52" s="181" t="str">
        <f>IF(ISBLANK($E52),"",VLOOKUP($E52,Teilnehmer!$B$4:$K$199,4,0))</f>
        <v>Drexler Matthias</v>
      </c>
      <c r="E52" s="182">
        <v>42</v>
      </c>
      <c r="F52" s="257">
        <v>11</v>
      </c>
      <c r="G52" s="255">
        <v>37</v>
      </c>
      <c r="H52" s="255">
        <v>45</v>
      </c>
      <c r="I52" s="258">
        <v>79</v>
      </c>
      <c r="J52" s="257">
        <v>11</v>
      </c>
      <c r="K52" s="255">
        <v>43</v>
      </c>
      <c r="L52" s="255">
        <v>33</v>
      </c>
      <c r="M52" s="258">
        <v>32</v>
      </c>
      <c r="N52" s="257">
        <v>0</v>
      </c>
      <c r="O52" s="255">
        <v>0</v>
      </c>
      <c r="P52" s="255">
        <v>0</v>
      </c>
      <c r="Q52" s="258">
        <v>0</v>
      </c>
      <c r="R52" s="183"/>
      <c r="S52" s="254">
        <v>12</v>
      </c>
      <c r="T52" s="255">
        <v>38</v>
      </c>
      <c r="U52" s="255">
        <v>49</v>
      </c>
      <c r="V52" s="258">
        <v>49</v>
      </c>
      <c r="W52" s="257">
        <v>12</v>
      </c>
      <c r="X52" s="255">
        <v>45</v>
      </c>
      <c r="Y52" s="255">
        <v>21</v>
      </c>
      <c r="Z52" s="256">
        <v>39</v>
      </c>
      <c r="AA52" s="257">
        <v>0</v>
      </c>
      <c r="AB52" s="255">
        <v>0</v>
      </c>
      <c r="AC52" s="255">
        <v>0</v>
      </c>
      <c r="AD52" s="258">
        <v>0</v>
      </c>
      <c r="AE52" s="183"/>
      <c r="AF52" s="254">
        <v>13</v>
      </c>
      <c r="AG52" s="255">
        <v>51</v>
      </c>
      <c r="AH52" s="255">
        <v>30</v>
      </c>
      <c r="AI52" s="256">
        <v>18</v>
      </c>
      <c r="AJ52" s="257">
        <v>13</v>
      </c>
      <c r="AK52" s="255">
        <v>57</v>
      </c>
      <c r="AL52" s="255">
        <v>10</v>
      </c>
      <c r="AM52" s="256">
        <v>67</v>
      </c>
      <c r="AN52" s="257">
        <v>0</v>
      </c>
      <c r="AO52" s="255">
        <v>0</v>
      </c>
      <c r="AP52" s="255">
        <v>0</v>
      </c>
      <c r="AQ52" s="258">
        <v>0</v>
      </c>
      <c r="AR52" s="183"/>
      <c r="AS52" s="254">
        <v>15</v>
      </c>
      <c r="AT52" s="255">
        <v>13</v>
      </c>
      <c r="AU52" s="255">
        <v>59</v>
      </c>
      <c r="AV52" s="256">
        <v>48</v>
      </c>
      <c r="AW52" s="257">
        <v>15</v>
      </c>
      <c r="AX52" s="255">
        <v>20</v>
      </c>
      <c r="AY52" s="255">
        <v>17</v>
      </c>
      <c r="AZ52" s="256">
        <v>64</v>
      </c>
      <c r="BA52" s="257">
        <v>0</v>
      </c>
      <c r="BB52" s="255">
        <v>0</v>
      </c>
      <c r="BC52" s="255">
        <v>0</v>
      </c>
      <c r="BD52" s="258">
        <v>0</v>
      </c>
      <c r="BE52" s="183"/>
      <c r="BF52" s="254">
        <v>15</v>
      </c>
      <c r="BG52" s="255">
        <v>45</v>
      </c>
      <c r="BH52" s="255">
        <v>39</v>
      </c>
      <c r="BI52" s="256">
        <v>98</v>
      </c>
      <c r="BJ52" s="257">
        <v>15</v>
      </c>
      <c r="BK52" s="255">
        <v>51</v>
      </c>
      <c r="BL52" s="255">
        <v>20</v>
      </c>
      <c r="BM52" s="256">
        <v>58</v>
      </c>
      <c r="BN52" s="257">
        <v>0</v>
      </c>
      <c r="BO52" s="255">
        <v>0</v>
      </c>
      <c r="BP52" s="255">
        <v>30</v>
      </c>
      <c r="BQ52" s="258">
        <v>0</v>
      </c>
      <c r="BR52" s="183"/>
      <c r="BS52" s="254">
        <v>0</v>
      </c>
      <c r="BT52" s="255">
        <v>0</v>
      </c>
      <c r="BU52" s="255">
        <v>0</v>
      </c>
      <c r="BV52" s="256">
        <v>0</v>
      </c>
      <c r="BW52" s="257">
        <v>0</v>
      </c>
      <c r="BX52" s="255">
        <v>0</v>
      </c>
      <c r="BY52" s="255">
        <v>0</v>
      </c>
      <c r="BZ52" s="256">
        <v>0</v>
      </c>
      <c r="CA52" s="257">
        <v>0</v>
      </c>
      <c r="CB52" s="255">
        <v>0</v>
      </c>
      <c r="CC52" s="255">
        <v>0</v>
      </c>
      <c r="CD52" s="258">
        <v>0</v>
      </c>
      <c r="CE52" s="183"/>
      <c r="CF52" s="254">
        <v>0</v>
      </c>
      <c r="CG52" s="255">
        <v>0</v>
      </c>
      <c r="CH52" s="255">
        <v>0</v>
      </c>
      <c r="CI52" s="258">
        <v>0</v>
      </c>
      <c r="CJ52" s="183"/>
      <c r="CK52" s="182">
        <v>42</v>
      </c>
      <c r="CL52" s="184" t="str">
        <f t="shared" si="6"/>
        <v>11:37:45,79</v>
      </c>
      <c r="CM52" s="185" t="str">
        <f t="shared" si="7"/>
        <v>11:43:33,32</v>
      </c>
      <c r="CN52" s="186" t="str">
        <f>IF(ISBLANK($E53),"",N52&amp;":"&amp;O52&amp;":"&amp;P52&amp;","&amp;Q52)</f>
        <v>0:0:0,0</v>
      </c>
      <c r="CO52" s="183"/>
      <c r="CP52" s="184" t="str">
        <f t="shared" si="24"/>
        <v>12:38:49,49</v>
      </c>
      <c r="CQ52" s="185" t="str">
        <f t="shared" si="25"/>
        <v>12:45:21,39</v>
      </c>
      <c r="CR52" s="186" t="str">
        <f t="shared" si="26"/>
        <v>0:0:0,0</v>
      </c>
      <c r="CS52" s="183"/>
      <c r="CT52" s="184" t="str">
        <f t="shared" si="27"/>
        <v>13:51:30,18</v>
      </c>
      <c r="CU52" s="185" t="str">
        <f t="shared" si="28"/>
        <v>13:57:10,67</v>
      </c>
      <c r="CV52" s="186" t="str">
        <f t="shared" si="29"/>
        <v>0:0:0,0</v>
      </c>
      <c r="CW52" s="183"/>
      <c r="CX52" s="184" t="str">
        <f t="shared" si="30"/>
        <v>15:13:59,48</v>
      </c>
      <c r="CY52" s="185" t="str">
        <f t="shared" si="31"/>
        <v>15:20:17,64</v>
      </c>
      <c r="CZ52" s="186" t="str">
        <f t="shared" si="32"/>
        <v>0:0:0,0</v>
      </c>
      <c r="DA52" s="183"/>
      <c r="DB52" s="184" t="str">
        <f t="shared" si="33"/>
        <v>15:45:39,98</v>
      </c>
      <c r="DC52" s="185" t="str">
        <f t="shared" si="34"/>
        <v>15:51:20,58</v>
      </c>
      <c r="DD52" s="186" t="str">
        <f t="shared" si="35"/>
        <v>0:0:30,0</v>
      </c>
      <c r="DE52" s="183"/>
      <c r="DF52" s="184" t="str">
        <f t="shared" si="36"/>
        <v>0:0:0,0</v>
      </c>
      <c r="DG52" s="185" t="str">
        <f t="shared" si="37"/>
        <v>0:0:0,0</v>
      </c>
      <c r="DH52" s="186" t="str">
        <f t="shared" si="38"/>
        <v>0:0:0,0</v>
      </c>
      <c r="DI52" s="183"/>
      <c r="DJ52" s="187" t="str">
        <f t="shared" si="39"/>
        <v>0:0:0,0</v>
      </c>
    </row>
    <row r="53" spans="2:114">
      <c r="B53" s="274">
        <f>IF(ISBLANK($E54),"",VLOOKUP($E54,Teilnehmer!$B$4:$K$199,2,0))</f>
        <v>2</v>
      </c>
      <c r="C53" s="190">
        <f>IF(ISBLANK($E54),"",VLOOKUP($E54,Teilnehmer!$B$4:$K$199,3,0))</f>
        <v>8</v>
      </c>
      <c r="D53" s="181" t="str">
        <f>IF(ISBLANK($E53),"",VLOOKUP($E53,Teilnehmer!$B$4:$K$199,4,0))</f>
        <v>Schmitt Thomas</v>
      </c>
      <c r="E53" s="182">
        <v>43</v>
      </c>
      <c r="F53" s="218"/>
      <c r="G53" s="218"/>
      <c r="H53" s="218"/>
      <c r="I53" s="218"/>
      <c r="J53" s="218"/>
      <c r="K53" s="218"/>
      <c r="L53" s="218"/>
      <c r="M53" s="218"/>
      <c r="N53" s="257">
        <v>0</v>
      </c>
      <c r="O53" s="255">
        <v>0</v>
      </c>
      <c r="P53" s="255">
        <v>0</v>
      </c>
      <c r="Q53" s="258">
        <v>0</v>
      </c>
      <c r="R53" s="183"/>
      <c r="S53" s="218"/>
      <c r="T53" s="218"/>
      <c r="U53" s="218"/>
      <c r="V53" s="218"/>
      <c r="W53" s="218"/>
      <c r="X53" s="218"/>
      <c r="Y53" s="218"/>
      <c r="Z53" s="218"/>
      <c r="AA53" s="257">
        <v>0</v>
      </c>
      <c r="AB53" s="255">
        <v>0</v>
      </c>
      <c r="AC53" s="255">
        <v>0</v>
      </c>
      <c r="AD53" s="258">
        <v>0</v>
      </c>
      <c r="AE53" s="183"/>
      <c r="AF53" s="218"/>
      <c r="AG53" s="218"/>
      <c r="AH53" s="218"/>
      <c r="AI53" s="218"/>
      <c r="AJ53" s="218"/>
      <c r="AK53" s="218"/>
      <c r="AL53" s="218"/>
      <c r="AM53" s="218"/>
      <c r="AN53" s="257">
        <v>0</v>
      </c>
      <c r="AO53" s="255">
        <v>0</v>
      </c>
      <c r="AP53" s="255">
        <v>0</v>
      </c>
      <c r="AQ53" s="258">
        <v>0</v>
      </c>
      <c r="AR53" s="183"/>
      <c r="AS53" s="218"/>
      <c r="AT53" s="218"/>
      <c r="AU53" s="218"/>
      <c r="AV53" s="218"/>
      <c r="AW53" s="218"/>
      <c r="AX53" s="218"/>
      <c r="AY53" s="218"/>
      <c r="AZ53" s="218"/>
      <c r="BA53" s="257">
        <v>0</v>
      </c>
      <c r="BB53" s="255">
        <v>0</v>
      </c>
      <c r="BC53" s="255">
        <v>0</v>
      </c>
      <c r="BD53" s="258">
        <v>0</v>
      </c>
      <c r="BE53" s="183"/>
      <c r="BF53" s="218"/>
      <c r="BG53" s="218"/>
      <c r="BH53" s="218"/>
      <c r="BI53" s="218"/>
      <c r="BJ53" s="218"/>
      <c r="BK53" s="218"/>
      <c r="BL53" s="218"/>
      <c r="BM53" s="218"/>
      <c r="BN53" s="257">
        <v>0</v>
      </c>
      <c r="BO53" s="255">
        <v>0</v>
      </c>
      <c r="BP53" s="255">
        <v>0</v>
      </c>
      <c r="BQ53" s="258">
        <v>0</v>
      </c>
      <c r="BR53" s="183"/>
      <c r="BS53" s="254">
        <v>0</v>
      </c>
      <c r="BT53" s="255">
        <v>0</v>
      </c>
      <c r="BU53" s="255">
        <v>0</v>
      </c>
      <c r="BV53" s="256">
        <v>0</v>
      </c>
      <c r="BW53" s="257">
        <v>0</v>
      </c>
      <c r="BX53" s="255">
        <v>0</v>
      </c>
      <c r="BY53" s="255">
        <v>0</v>
      </c>
      <c r="BZ53" s="256">
        <v>0</v>
      </c>
      <c r="CA53" s="257">
        <v>0</v>
      </c>
      <c r="CB53" s="255">
        <v>0</v>
      </c>
      <c r="CC53" s="255">
        <v>0</v>
      </c>
      <c r="CD53" s="258">
        <v>0</v>
      </c>
      <c r="CE53" s="183"/>
      <c r="CF53" s="254">
        <v>0</v>
      </c>
      <c r="CG53" s="255">
        <v>0</v>
      </c>
      <c r="CH53" s="255">
        <v>0</v>
      </c>
      <c r="CI53" s="258">
        <v>0</v>
      </c>
      <c r="CJ53" s="183"/>
      <c r="CK53" s="182">
        <v>43</v>
      </c>
      <c r="CL53" s="184" t="str">
        <f t="shared" si="6"/>
        <v>::,</v>
      </c>
      <c r="CM53" s="185" t="str">
        <f t="shared" si="7"/>
        <v>::,</v>
      </c>
      <c r="CN53" s="186" t="str">
        <f>IF(ISBLANK($E54),"",N53&amp;":"&amp;O53&amp;":"&amp;P53&amp;","&amp;Q53)</f>
        <v>0:0:0,0</v>
      </c>
      <c r="CO53" s="183"/>
      <c r="CP53" s="184" t="str">
        <f t="shared" si="24"/>
        <v>::,</v>
      </c>
      <c r="CQ53" s="185" t="str">
        <f t="shared" si="25"/>
        <v>::,</v>
      </c>
      <c r="CR53" s="186" t="str">
        <f t="shared" si="26"/>
        <v>0:0:0,0</v>
      </c>
      <c r="CS53" s="183"/>
      <c r="CT53" s="184" t="str">
        <f t="shared" si="27"/>
        <v>::,</v>
      </c>
      <c r="CU53" s="185" t="str">
        <f t="shared" si="28"/>
        <v>::,</v>
      </c>
      <c r="CV53" s="186" t="str">
        <f t="shared" si="29"/>
        <v>0:0:0,0</v>
      </c>
      <c r="CW53" s="183"/>
      <c r="CX53" s="184" t="str">
        <f t="shared" si="30"/>
        <v>::,</v>
      </c>
      <c r="CY53" s="185" t="str">
        <f t="shared" si="31"/>
        <v>::,</v>
      </c>
      <c r="CZ53" s="186" t="str">
        <f t="shared" si="32"/>
        <v>0:0:0,0</v>
      </c>
      <c r="DA53" s="183"/>
      <c r="DB53" s="184" t="str">
        <f t="shared" si="33"/>
        <v>::,</v>
      </c>
      <c r="DC53" s="185" t="str">
        <f t="shared" si="34"/>
        <v>::,</v>
      </c>
      <c r="DD53" s="186" t="str">
        <f t="shared" si="35"/>
        <v>0:0:0,0</v>
      </c>
      <c r="DE53" s="183"/>
      <c r="DF53" s="184" t="str">
        <f t="shared" si="36"/>
        <v>0:0:0,0</v>
      </c>
      <c r="DG53" s="185" t="str">
        <f t="shared" si="37"/>
        <v>0:0:0,0</v>
      </c>
      <c r="DH53" s="186" t="str">
        <f t="shared" si="38"/>
        <v>0:0:0,0</v>
      </c>
      <c r="DI53" s="183"/>
      <c r="DJ53" s="187" t="str">
        <f t="shared" si="39"/>
        <v>0:0:0,0</v>
      </c>
    </row>
    <row r="54" spans="2:114">
      <c r="B54" s="274">
        <f>IF(ISBLANK($E55),"",VLOOKUP($E55,Teilnehmer!$B$4:$K$199,2,0))</f>
        <v>2</v>
      </c>
      <c r="C54" s="190">
        <f>IF(ISBLANK($E55),"",VLOOKUP($E55,Teilnehmer!$B$4:$K$199,3,0))</f>
        <v>8</v>
      </c>
      <c r="D54" s="181" t="str">
        <f>IF(ISBLANK($E54),"",VLOOKUP($E54,Teilnehmer!$B$4:$K$199,4,0))</f>
        <v>Michel Torsten</v>
      </c>
      <c r="E54" s="182">
        <v>44</v>
      </c>
      <c r="F54" s="257">
        <v>11</v>
      </c>
      <c r="G54" s="255">
        <v>39</v>
      </c>
      <c r="H54" s="255">
        <v>0</v>
      </c>
      <c r="I54" s="258">
        <v>70</v>
      </c>
      <c r="J54" s="257">
        <v>11</v>
      </c>
      <c r="K54" s="255">
        <v>44</v>
      </c>
      <c r="L54" s="255">
        <v>14</v>
      </c>
      <c r="M54" s="258">
        <v>13</v>
      </c>
      <c r="N54" s="257">
        <v>0</v>
      </c>
      <c r="O54" s="255">
        <v>0</v>
      </c>
      <c r="P54" s="255">
        <v>0</v>
      </c>
      <c r="Q54" s="258">
        <v>0</v>
      </c>
      <c r="R54" s="183"/>
      <c r="S54" s="254">
        <v>12</v>
      </c>
      <c r="T54" s="255">
        <v>39</v>
      </c>
      <c r="U54" s="255">
        <v>12</v>
      </c>
      <c r="V54" s="258">
        <v>60</v>
      </c>
      <c r="W54" s="257">
        <v>12</v>
      </c>
      <c r="X54" s="255">
        <v>45</v>
      </c>
      <c r="Y54" s="255">
        <v>27</v>
      </c>
      <c r="Z54" s="256">
        <v>75</v>
      </c>
      <c r="AA54" s="257">
        <v>0</v>
      </c>
      <c r="AB54" s="255">
        <v>0</v>
      </c>
      <c r="AC54" s="255">
        <v>0</v>
      </c>
      <c r="AD54" s="258">
        <v>0</v>
      </c>
      <c r="AE54" s="183"/>
      <c r="AF54" s="254">
        <v>13</v>
      </c>
      <c r="AG54" s="255">
        <v>52</v>
      </c>
      <c r="AH54" s="255">
        <v>1</v>
      </c>
      <c r="AI54" s="256">
        <v>10</v>
      </c>
      <c r="AJ54" s="257">
        <v>13</v>
      </c>
      <c r="AK54" s="255">
        <v>57</v>
      </c>
      <c r="AL54" s="255">
        <v>14</v>
      </c>
      <c r="AM54" s="256">
        <v>67</v>
      </c>
      <c r="AN54" s="257">
        <v>0</v>
      </c>
      <c r="AO54" s="255">
        <v>0</v>
      </c>
      <c r="AP54" s="255">
        <v>0</v>
      </c>
      <c r="AQ54" s="258">
        <v>0</v>
      </c>
      <c r="AR54" s="183"/>
      <c r="AS54" s="254">
        <v>15</v>
      </c>
      <c r="AT54" s="255">
        <v>14</v>
      </c>
      <c r="AU54" s="255">
        <v>54</v>
      </c>
      <c r="AV54" s="256">
        <v>81</v>
      </c>
      <c r="AW54" s="257">
        <v>15</v>
      </c>
      <c r="AX54" s="255">
        <v>21</v>
      </c>
      <c r="AY54" s="255">
        <v>3</v>
      </c>
      <c r="AZ54" s="256">
        <v>34</v>
      </c>
      <c r="BA54" s="257">
        <v>0</v>
      </c>
      <c r="BB54" s="255">
        <v>0</v>
      </c>
      <c r="BC54" s="255">
        <v>0</v>
      </c>
      <c r="BD54" s="258">
        <v>0</v>
      </c>
      <c r="BE54" s="183"/>
      <c r="BF54" s="254">
        <v>15</v>
      </c>
      <c r="BG54" s="255">
        <v>48</v>
      </c>
      <c r="BH54" s="255">
        <v>29</v>
      </c>
      <c r="BI54" s="256">
        <v>35</v>
      </c>
      <c r="BJ54" s="257">
        <v>15</v>
      </c>
      <c r="BK54" s="255">
        <v>53</v>
      </c>
      <c r="BL54" s="255">
        <v>37</v>
      </c>
      <c r="BM54" s="256">
        <v>25</v>
      </c>
      <c r="BN54" s="257">
        <v>0</v>
      </c>
      <c r="BO54" s="255">
        <v>0</v>
      </c>
      <c r="BP54" s="255">
        <v>0</v>
      </c>
      <c r="BQ54" s="258">
        <v>0</v>
      </c>
      <c r="BR54" s="183"/>
      <c r="BS54" s="254">
        <v>0</v>
      </c>
      <c r="BT54" s="255">
        <v>0</v>
      </c>
      <c r="BU54" s="255">
        <v>0</v>
      </c>
      <c r="BV54" s="256">
        <v>0</v>
      </c>
      <c r="BW54" s="257">
        <v>0</v>
      </c>
      <c r="BX54" s="255">
        <v>0</v>
      </c>
      <c r="BY54" s="255">
        <v>0</v>
      </c>
      <c r="BZ54" s="256">
        <v>0</v>
      </c>
      <c r="CA54" s="257">
        <v>0</v>
      </c>
      <c r="CB54" s="255">
        <v>0</v>
      </c>
      <c r="CC54" s="255">
        <v>0</v>
      </c>
      <c r="CD54" s="258">
        <v>0</v>
      </c>
      <c r="CE54" s="183"/>
      <c r="CF54" s="254">
        <v>0</v>
      </c>
      <c r="CG54" s="255">
        <v>0</v>
      </c>
      <c r="CH54" s="255">
        <v>0</v>
      </c>
      <c r="CI54" s="258">
        <v>0</v>
      </c>
      <c r="CJ54" s="183"/>
      <c r="CK54" s="182">
        <v>44</v>
      </c>
      <c r="CL54" s="184" t="str">
        <f t="shared" si="6"/>
        <v>11:39:0,70</v>
      </c>
      <c r="CM54" s="185" t="str">
        <f t="shared" si="7"/>
        <v>11:44:14,13</v>
      </c>
      <c r="CN54" s="186" t="str">
        <f>IF(ISBLANK($E55),"",N54&amp;":"&amp;O54&amp;":"&amp;P54&amp;","&amp;Q54)</f>
        <v>0:0:0,0</v>
      </c>
      <c r="CO54" s="183"/>
      <c r="CP54" s="184" t="str">
        <f t="shared" si="24"/>
        <v>12:39:12,60</v>
      </c>
      <c r="CQ54" s="185" t="str">
        <f t="shared" si="25"/>
        <v>12:45:27,75</v>
      </c>
      <c r="CR54" s="186" t="str">
        <f t="shared" si="26"/>
        <v>0:0:0,0</v>
      </c>
      <c r="CS54" s="183"/>
      <c r="CT54" s="184" t="str">
        <f t="shared" si="27"/>
        <v>13:52:1,10</v>
      </c>
      <c r="CU54" s="185" t="str">
        <f t="shared" si="28"/>
        <v>13:57:14,67</v>
      </c>
      <c r="CV54" s="186" t="str">
        <f t="shared" si="29"/>
        <v>0:0:0,0</v>
      </c>
      <c r="CW54" s="183"/>
      <c r="CX54" s="184" t="str">
        <f t="shared" si="30"/>
        <v>15:14:54,81</v>
      </c>
      <c r="CY54" s="185" t="str">
        <f t="shared" si="31"/>
        <v>15:21:3,34</v>
      </c>
      <c r="CZ54" s="186" t="str">
        <f t="shared" si="32"/>
        <v>0:0:0,0</v>
      </c>
      <c r="DA54" s="183"/>
      <c r="DB54" s="184" t="str">
        <f t="shared" si="33"/>
        <v>15:48:29,35</v>
      </c>
      <c r="DC54" s="185" t="str">
        <f t="shared" si="34"/>
        <v>15:53:37,25</v>
      </c>
      <c r="DD54" s="186" t="str">
        <f t="shared" si="35"/>
        <v>0:0:0,0</v>
      </c>
      <c r="DE54" s="183"/>
      <c r="DF54" s="184" t="str">
        <f t="shared" si="36"/>
        <v>0:0:0,0</v>
      </c>
      <c r="DG54" s="185" t="str">
        <f t="shared" si="37"/>
        <v>0:0:0,0</v>
      </c>
      <c r="DH54" s="186" t="str">
        <f t="shared" si="38"/>
        <v>0:0:0,0</v>
      </c>
      <c r="DI54" s="183"/>
      <c r="DJ54" s="187" t="str">
        <f t="shared" si="39"/>
        <v>0:0:0,0</v>
      </c>
    </row>
    <row r="55" spans="2:114">
      <c r="B55" s="274">
        <f>IF(ISBLANK($E56),"",VLOOKUP($E56,Teilnehmer!$B$4:$K$199,2,0))</f>
        <v>2</v>
      </c>
      <c r="C55" s="190">
        <f>IF(ISBLANK($E56),"",VLOOKUP($E56,Teilnehmer!$B$4:$K$199,3,0))</f>
        <v>8</v>
      </c>
      <c r="D55" s="181" t="str">
        <f>IF(ISBLANK($E55),"",VLOOKUP($E55,Teilnehmer!$B$4:$K$199,4,0))</f>
        <v>Preis sen. Gerhard</v>
      </c>
      <c r="E55" s="182">
        <v>45</v>
      </c>
      <c r="F55" s="257">
        <v>11</v>
      </c>
      <c r="G55" s="255">
        <v>40</v>
      </c>
      <c r="H55" s="255">
        <v>18</v>
      </c>
      <c r="I55" s="258">
        <v>96</v>
      </c>
      <c r="J55" s="257">
        <v>11</v>
      </c>
      <c r="K55" s="255">
        <v>46</v>
      </c>
      <c r="L55" s="255">
        <v>40</v>
      </c>
      <c r="M55" s="258">
        <v>76</v>
      </c>
      <c r="N55" s="257">
        <v>0</v>
      </c>
      <c r="O55" s="255">
        <v>0</v>
      </c>
      <c r="P55" s="255">
        <v>0</v>
      </c>
      <c r="Q55" s="258">
        <v>0</v>
      </c>
      <c r="R55" s="183"/>
      <c r="S55" s="254">
        <v>12</v>
      </c>
      <c r="T55" s="255">
        <v>39</v>
      </c>
      <c r="U55" s="255">
        <v>29</v>
      </c>
      <c r="V55" s="258">
        <v>84</v>
      </c>
      <c r="W55" s="257">
        <v>12</v>
      </c>
      <c r="X55" s="255">
        <v>44</v>
      </c>
      <c r="Y55" s="255">
        <v>37</v>
      </c>
      <c r="Z55" s="256">
        <v>75</v>
      </c>
      <c r="AA55" s="257">
        <v>0</v>
      </c>
      <c r="AB55" s="255">
        <v>0</v>
      </c>
      <c r="AC55" s="255">
        <v>0</v>
      </c>
      <c r="AD55" s="258">
        <v>0</v>
      </c>
      <c r="AE55" s="183"/>
      <c r="AF55" s="254">
        <v>13</v>
      </c>
      <c r="AG55" s="255">
        <v>52</v>
      </c>
      <c r="AH55" s="255">
        <v>54</v>
      </c>
      <c r="AI55" s="256">
        <v>59</v>
      </c>
      <c r="AJ55" s="257">
        <v>13</v>
      </c>
      <c r="AK55" s="255">
        <v>59</v>
      </c>
      <c r="AL55" s="255">
        <v>9</v>
      </c>
      <c r="AM55" s="256">
        <v>17</v>
      </c>
      <c r="AN55" s="257">
        <v>0</v>
      </c>
      <c r="AO55" s="255">
        <v>0</v>
      </c>
      <c r="AP55" s="255">
        <v>0</v>
      </c>
      <c r="AQ55" s="258">
        <v>0</v>
      </c>
      <c r="AR55" s="183"/>
      <c r="AS55" s="254">
        <v>15</v>
      </c>
      <c r="AT55" s="255">
        <v>15</v>
      </c>
      <c r="AU55" s="255">
        <v>12</v>
      </c>
      <c r="AV55" s="256">
        <v>58</v>
      </c>
      <c r="AW55" s="257">
        <v>15</v>
      </c>
      <c r="AX55" s="255">
        <v>22</v>
      </c>
      <c r="AY55" s="255">
        <v>11</v>
      </c>
      <c r="AZ55" s="256">
        <v>29</v>
      </c>
      <c r="BA55" s="257">
        <v>0</v>
      </c>
      <c r="BB55" s="255">
        <v>0</v>
      </c>
      <c r="BC55" s="255">
        <v>0</v>
      </c>
      <c r="BD55" s="258">
        <v>0</v>
      </c>
      <c r="BE55" s="183"/>
      <c r="BF55" s="254">
        <v>15</v>
      </c>
      <c r="BG55" s="255">
        <v>49</v>
      </c>
      <c r="BH55" s="255">
        <v>15</v>
      </c>
      <c r="BI55" s="256">
        <v>21</v>
      </c>
      <c r="BJ55" s="257">
        <v>15</v>
      </c>
      <c r="BK55" s="255">
        <v>55</v>
      </c>
      <c r="BL55" s="255">
        <v>35</v>
      </c>
      <c r="BM55" s="256">
        <v>65</v>
      </c>
      <c r="BN55" s="257">
        <v>0</v>
      </c>
      <c r="BO55" s="255">
        <v>0</v>
      </c>
      <c r="BP55" s="255">
        <v>0</v>
      </c>
      <c r="BQ55" s="258">
        <v>0</v>
      </c>
      <c r="BR55" s="183"/>
      <c r="BS55" s="254">
        <v>0</v>
      </c>
      <c r="BT55" s="255">
        <v>0</v>
      </c>
      <c r="BU55" s="255">
        <v>0</v>
      </c>
      <c r="BV55" s="256">
        <v>0</v>
      </c>
      <c r="BW55" s="257">
        <v>0</v>
      </c>
      <c r="BX55" s="255">
        <v>0</v>
      </c>
      <c r="BY55" s="255">
        <v>0</v>
      </c>
      <c r="BZ55" s="256">
        <v>0</v>
      </c>
      <c r="CA55" s="257">
        <v>0</v>
      </c>
      <c r="CB55" s="255">
        <v>0</v>
      </c>
      <c r="CC55" s="255">
        <v>0</v>
      </c>
      <c r="CD55" s="258">
        <v>0</v>
      </c>
      <c r="CE55" s="183"/>
      <c r="CF55" s="254">
        <v>0</v>
      </c>
      <c r="CG55" s="255">
        <v>0</v>
      </c>
      <c r="CH55" s="255">
        <v>0</v>
      </c>
      <c r="CI55" s="258">
        <v>0</v>
      </c>
      <c r="CJ55" s="183"/>
      <c r="CK55" s="182">
        <v>45</v>
      </c>
      <c r="CL55" s="184" t="str">
        <f t="shared" si="6"/>
        <v>11:40:18,96</v>
      </c>
      <c r="CM55" s="185" t="str">
        <f t="shared" si="7"/>
        <v>11:46:40,76</v>
      </c>
      <c r="CN55" s="186" t="str">
        <f>IF(ISBLANK($E56),"",N55&amp;":"&amp;O55&amp;":"&amp;P55&amp;","&amp;Q55)</f>
        <v>0:0:0,0</v>
      </c>
      <c r="CO55" s="183"/>
      <c r="CP55" s="184" t="str">
        <f t="shared" si="24"/>
        <v>12:39:29,84</v>
      </c>
      <c r="CQ55" s="185" t="str">
        <f t="shared" si="25"/>
        <v>12:44:37,75</v>
      </c>
      <c r="CR55" s="186" t="str">
        <f t="shared" si="26"/>
        <v>0:0:0,0</v>
      </c>
      <c r="CS55" s="183"/>
      <c r="CT55" s="184" t="str">
        <f t="shared" si="27"/>
        <v>13:52:54,59</v>
      </c>
      <c r="CU55" s="185" t="str">
        <f t="shared" si="28"/>
        <v>13:59:9,17</v>
      </c>
      <c r="CV55" s="186" t="str">
        <f t="shared" si="29"/>
        <v>0:0:0,0</v>
      </c>
      <c r="CW55" s="183"/>
      <c r="CX55" s="184" t="str">
        <f t="shared" si="30"/>
        <v>15:15:12,58</v>
      </c>
      <c r="CY55" s="185" t="str">
        <f t="shared" si="31"/>
        <v>15:22:11,29</v>
      </c>
      <c r="CZ55" s="186" t="str">
        <f t="shared" si="32"/>
        <v>0:0:0,0</v>
      </c>
      <c r="DA55" s="183"/>
      <c r="DB55" s="184" t="str">
        <f t="shared" si="33"/>
        <v>15:49:15,21</v>
      </c>
      <c r="DC55" s="185" t="str">
        <f t="shared" si="34"/>
        <v>15:55:35,65</v>
      </c>
      <c r="DD55" s="186" t="str">
        <f t="shared" si="35"/>
        <v>0:0:0,0</v>
      </c>
      <c r="DE55" s="183"/>
      <c r="DF55" s="184" t="str">
        <f t="shared" si="36"/>
        <v>0:0:0,0</v>
      </c>
      <c r="DG55" s="185" t="str">
        <f t="shared" si="37"/>
        <v>0:0:0,0</v>
      </c>
      <c r="DH55" s="186" t="str">
        <f t="shared" si="38"/>
        <v>0:0:0,0</v>
      </c>
      <c r="DI55" s="183"/>
      <c r="DJ55" s="187" t="str">
        <f t="shared" si="39"/>
        <v>0:0:0,0</v>
      </c>
    </row>
    <row r="56" spans="2:114">
      <c r="B56" s="274">
        <f>IF(ISBLANK($E57),"",VLOOKUP($E57,Teilnehmer!$B$4:$K$199,2,0))</f>
        <v>2</v>
      </c>
      <c r="C56" s="190">
        <f>IF(ISBLANK($E57),"",VLOOKUP($E57,Teilnehmer!$B$4:$K$199,3,0))</f>
        <v>8</v>
      </c>
      <c r="D56" s="181" t="str">
        <f>IF(ISBLANK($E56),"",VLOOKUP($E56,Teilnehmer!$B$4:$K$199,4,0))</f>
        <v>Gärtner Daniel</v>
      </c>
      <c r="E56" s="182">
        <v>46</v>
      </c>
      <c r="F56" s="257">
        <v>11</v>
      </c>
      <c r="G56" s="255">
        <v>41</v>
      </c>
      <c r="H56" s="255">
        <v>18</v>
      </c>
      <c r="I56" s="258">
        <v>86</v>
      </c>
      <c r="J56" s="257">
        <v>11</v>
      </c>
      <c r="K56" s="255">
        <v>47</v>
      </c>
      <c r="L56" s="255">
        <v>9</v>
      </c>
      <c r="M56" s="258">
        <v>8</v>
      </c>
      <c r="N56" s="257">
        <v>0</v>
      </c>
      <c r="O56" s="255">
        <v>0</v>
      </c>
      <c r="P56" s="255">
        <v>0</v>
      </c>
      <c r="Q56" s="258">
        <v>0</v>
      </c>
      <c r="R56" s="183"/>
      <c r="S56" s="254">
        <v>12</v>
      </c>
      <c r="T56" s="255">
        <v>39</v>
      </c>
      <c r="U56" s="255">
        <v>45</v>
      </c>
      <c r="V56" s="258">
        <v>39</v>
      </c>
      <c r="W56" s="257">
        <v>12</v>
      </c>
      <c r="X56" s="255">
        <v>46</v>
      </c>
      <c r="Y56" s="255">
        <v>25</v>
      </c>
      <c r="Z56" s="256">
        <v>97</v>
      </c>
      <c r="AA56" s="257">
        <v>0</v>
      </c>
      <c r="AB56" s="255">
        <v>0</v>
      </c>
      <c r="AC56" s="255">
        <v>0</v>
      </c>
      <c r="AD56" s="258">
        <v>0</v>
      </c>
      <c r="AE56" s="183"/>
      <c r="AF56" s="254">
        <v>13</v>
      </c>
      <c r="AG56" s="255">
        <v>54</v>
      </c>
      <c r="AH56" s="255">
        <v>14</v>
      </c>
      <c r="AI56" s="256">
        <v>41</v>
      </c>
      <c r="AJ56" s="257">
        <v>14</v>
      </c>
      <c r="AK56" s="255">
        <v>0</v>
      </c>
      <c r="AL56" s="255">
        <v>3</v>
      </c>
      <c r="AM56" s="256">
        <v>75</v>
      </c>
      <c r="AN56" s="257">
        <v>0</v>
      </c>
      <c r="AO56" s="255">
        <v>0</v>
      </c>
      <c r="AP56" s="255">
        <v>0</v>
      </c>
      <c r="AQ56" s="258">
        <v>0</v>
      </c>
      <c r="AR56" s="183"/>
      <c r="AS56" s="254">
        <v>15</v>
      </c>
      <c r="AT56" s="255">
        <v>19</v>
      </c>
      <c r="AU56" s="255">
        <v>41</v>
      </c>
      <c r="AV56" s="256">
        <v>75</v>
      </c>
      <c r="AW56" s="257">
        <v>15</v>
      </c>
      <c r="AX56" s="255">
        <v>26</v>
      </c>
      <c r="AY56" s="255">
        <v>4</v>
      </c>
      <c r="AZ56" s="256">
        <v>82</v>
      </c>
      <c r="BA56" s="257">
        <v>0</v>
      </c>
      <c r="BB56" s="255">
        <v>0</v>
      </c>
      <c r="BC56" s="255">
        <v>0</v>
      </c>
      <c r="BD56" s="258">
        <v>0</v>
      </c>
      <c r="BE56" s="183"/>
      <c r="BF56" s="254">
        <v>15</v>
      </c>
      <c r="BG56" s="255">
        <v>53</v>
      </c>
      <c r="BH56" s="255">
        <v>7</v>
      </c>
      <c r="BI56" s="256">
        <v>95</v>
      </c>
      <c r="BJ56" s="257">
        <v>15</v>
      </c>
      <c r="BK56" s="255">
        <v>58</v>
      </c>
      <c r="BL56" s="255">
        <v>50</v>
      </c>
      <c r="BM56" s="256">
        <v>45</v>
      </c>
      <c r="BN56" s="257">
        <v>0</v>
      </c>
      <c r="BO56" s="255">
        <v>0</v>
      </c>
      <c r="BP56" s="255">
        <v>0</v>
      </c>
      <c r="BQ56" s="258">
        <v>0</v>
      </c>
      <c r="BR56" s="183"/>
      <c r="BS56" s="254">
        <v>0</v>
      </c>
      <c r="BT56" s="255">
        <v>0</v>
      </c>
      <c r="BU56" s="255">
        <v>0</v>
      </c>
      <c r="BV56" s="256">
        <v>0</v>
      </c>
      <c r="BW56" s="257">
        <v>0</v>
      </c>
      <c r="BX56" s="255">
        <v>0</v>
      </c>
      <c r="BY56" s="255">
        <v>0</v>
      </c>
      <c r="BZ56" s="256">
        <v>0</v>
      </c>
      <c r="CA56" s="257">
        <v>0</v>
      </c>
      <c r="CB56" s="255">
        <v>0</v>
      </c>
      <c r="CC56" s="255">
        <v>0</v>
      </c>
      <c r="CD56" s="258">
        <v>0</v>
      </c>
      <c r="CE56" s="183"/>
      <c r="CF56" s="254">
        <v>0</v>
      </c>
      <c r="CG56" s="255">
        <v>0</v>
      </c>
      <c r="CH56" s="255">
        <v>0</v>
      </c>
      <c r="CI56" s="258">
        <v>0</v>
      </c>
      <c r="CJ56" s="183"/>
      <c r="CK56" s="182">
        <v>46</v>
      </c>
      <c r="CL56" s="184" t="str">
        <f t="shared" si="6"/>
        <v>11:41:18,86</v>
      </c>
      <c r="CM56" s="185" t="str">
        <f t="shared" si="7"/>
        <v>11:47:9,8</v>
      </c>
      <c r="CN56" s="186" t="str">
        <f>IF(ISBLANK($E57),"",N56&amp;":"&amp;O56&amp;":"&amp;P56&amp;","&amp;Q56)</f>
        <v>0:0:0,0</v>
      </c>
      <c r="CO56" s="183"/>
      <c r="CP56" s="184" t="str">
        <f t="shared" si="24"/>
        <v>12:39:45,39</v>
      </c>
      <c r="CQ56" s="185" t="str">
        <f t="shared" si="25"/>
        <v>12:46:25,97</v>
      </c>
      <c r="CR56" s="186" t="str">
        <f t="shared" si="26"/>
        <v>0:0:0,0</v>
      </c>
      <c r="CS56" s="183"/>
      <c r="CT56" s="184" t="str">
        <f t="shared" si="27"/>
        <v>13:54:14,41</v>
      </c>
      <c r="CU56" s="185" t="str">
        <f t="shared" si="28"/>
        <v>14:0:3,75</v>
      </c>
      <c r="CV56" s="186" t="str">
        <f t="shared" si="29"/>
        <v>0:0:0,0</v>
      </c>
      <c r="CW56" s="183"/>
      <c r="CX56" s="184" t="str">
        <f t="shared" si="30"/>
        <v>15:19:41,75</v>
      </c>
      <c r="CY56" s="185" t="str">
        <f t="shared" si="31"/>
        <v>15:26:4,82</v>
      </c>
      <c r="CZ56" s="186" t="str">
        <f t="shared" si="32"/>
        <v>0:0:0,0</v>
      </c>
      <c r="DA56" s="183"/>
      <c r="DB56" s="184" t="str">
        <f t="shared" si="33"/>
        <v>15:53:7,95</v>
      </c>
      <c r="DC56" s="185" t="str">
        <f t="shared" si="34"/>
        <v>15:58:50,45</v>
      </c>
      <c r="DD56" s="186" t="str">
        <f t="shared" si="35"/>
        <v>0:0:0,0</v>
      </c>
      <c r="DE56" s="183"/>
      <c r="DF56" s="184" t="str">
        <f t="shared" si="36"/>
        <v>0:0:0,0</v>
      </c>
      <c r="DG56" s="185" t="str">
        <f t="shared" si="37"/>
        <v>0:0:0,0</v>
      </c>
      <c r="DH56" s="186" t="str">
        <f t="shared" si="38"/>
        <v>0:0:0,0</v>
      </c>
      <c r="DI56" s="183"/>
      <c r="DJ56" s="187" t="str">
        <f t="shared" si="39"/>
        <v>0:0:0,0</v>
      </c>
    </row>
    <row r="57" spans="2:114">
      <c r="B57" s="274">
        <f>IF(ISBLANK($E58),"",VLOOKUP($E58,Teilnehmer!$B$4:$K$199,2,0))</f>
        <v>2</v>
      </c>
      <c r="C57" s="190">
        <f>IF(ISBLANK($E58),"",VLOOKUP($E58,Teilnehmer!$B$4:$K$199,3,0))</f>
        <v>8</v>
      </c>
      <c r="D57" s="181" t="str">
        <f>IF(ISBLANK($E57),"",VLOOKUP($E57,Teilnehmer!$B$4:$K$199,4,0))</f>
        <v>Kahler Patrick</v>
      </c>
      <c r="E57" s="182">
        <v>47</v>
      </c>
      <c r="F57" s="257">
        <v>11</v>
      </c>
      <c r="G57" s="255">
        <v>42</v>
      </c>
      <c r="H57" s="255">
        <v>4</v>
      </c>
      <c r="I57" s="258">
        <v>44</v>
      </c>
      <c r="J57" s="257">
        <v>11</v>
      </c>
      <c r="K57" s="255">
        <v>47</v>
      </c>
      <c r="L57" s="255">
        <v>45</v>
      </c>
      <c r="M57" s="258">
        <v>77</v>
      </c>
      <c r="N57" s="257">
        <v>0</v>
      </c>
      <c r="O57" s="255">
        <v>0</v>
      </c>
      <c r="P57" s="255">
        <v>0</v>
      </c>
      <c r="Q57" s="258">
        <v>0</v>
      </c>
      <c r="R57" s="183"/>
      <c r="S57" s="254">
        <v>12</v>
      </c>
      <c r="T57" s="255">
        <v>44</v>
      </c>
      <c r="U57" s="255">
        <v>39</v>
      </c>
      <c r="V57" s="258">
        <v>79</v>
      </c>
      <c r="W57" s="257">
        <v>12</v>
      </c>
      <c r="X57" s="255">
        <v>51</v>
      </c>
      <c r="Y57" s="255">
        <v>15</v>
      </c>
      <c r="Z57" s="256">
        <v>48</v>
      </c>
      <c r="AA57" s="257">
        <v>0</v>
      </c>
      <c r="AB57" s="255">
        <v>0</v>
      </c>
      <c r="AC57" s="255">
        <v>0</v>
      </c>
      <c r="AD57" s="258">
        <v>0</v>
      </c>
      <c r="AE57" s="183"/>
      <c r="AF57" s="254">
        <v>13</v>
      </c>
      <c r="AG57" s="255">
        <v>56</v>
      </c>
      <c r="AH57" s="255">
        <v>17</v>
      </c>
      <c r="AI57" s="256">
        <v>58</v>
      </c>
      <c r="AJ57" s="257">
        <v>14</v>
      </c>
      <c r="AK57" s="255">
        <v>1</v>
      </c>
      <c r="AL57" s="255">
        <v>56</v>
      </c>
      <c r="AM57" s="256">
        <v>42</v>
      </c>
      <c r="AN57" s="257">
        <v>0</v>
      </c>
      <c r="AO57" s="255">
        <v>0</v>
      </c>
      <c r="AP57" s="255">
        <v>0</v>
      </c>
      <c r="AQ57" s="258">
        <v>0</v>
      </c>
      <c r="AR57" s="183"/>
      <c r="AS57" s="254">
        <v>15</v>
      </c>
      <c r="AT57" s="255">
        <v>20</v>
      </c>
      <c r="AU57" s="255">
        <v>0</v>
      </c>
      <c r="AV57" s="256">
        <v>88</v>
      </c>
      <c r="AW57" s="257">
        <v>15</v>
      </c>
      <c r="AX57" s="255">
        <v>26</v>
      </c>
      <c r="AY57" s="255">
        <v>19</v>
      </c>
      <c r="AZ57" s="256">
        <v>59</v>
      </c>
      <c r="BA57" s="257">
        <v>0</v>
      </c>
      <c r="BB57" s="255">
        <v>0</v>
      </c>
      <c r="BC57" s="255">
        <v>0</v>
      </c>
      <c r="BD57" s="258">
        <v>0</v>
      </c>
      <c r="BE57" s="183"/>
      <c r="BF57" s="254">
        <v>15</v>
      </c>
      <c r="BG57" s="255">
        <v>52</v>
      </c>
      <c r="BH57" s="255">
        <v>5</v>
      </c>
      <c r="BI57" s="256">
        <v>56</v>
      </c>
      <c r="BJ57" s="257">
        <v>15</v>
      </c>
      <c r="BK57" s="255">
        <v>57</v>
      </c>
      <c r="BL57" s="255">
        <v>38</v>
      </c>
      <c r="BM57" s="256">
        <v>62</v>
      </c>
      <c r="BN57" s="257">
        <v>0</v>
      </c>
      <c r="BO57" s="255">
        <v>0</v>
      </c>
      <c r="BP57" s="255">
        <v>0</v>
      </c>
      <c r="BQ57" s="258">
        <v>0</v>
      </c>
      <c r="BR57" s="183"/>
      <c r="BS57" s="254">
        <v>0</v>
      </c>
      <c r="BT57" s="255">
        <v>0</v>
      </c>
      <c r="BU57" s="255">
        <v>0</v>
      </c>
      <c r="BV57" s="256">
        <v>0</v>
      </c>
      <c r="BW57" s="257">
        <v>0</v>
      </c>
      <c r="BX57" s="255">
        <v>0</v>
      </c>
      <c r="BY57" s="255">
        <v>0</v>
      </c>
      <c r="BZ57" s="256">
        <v>0</v>
      </c>
      <c r="CA57" s="257">
        <v>0</v>
      </c>
      <c r="CB57" s="255">
        <v>0</v>
      </c>
      <c r="CC57" s="255">
        <v>0</v>
      </c>
      <c r="CD57" s="258">
        <v>0</v>
      </c>
      <c r="CE57" s="183"/>
      <c r="CF57" s="254">
        <v>0</v>
      </c>
      <c r="CG57" s="255">
        <v>0</v>
      </c>
      <c r="CH57" s="255">
        <v>0</v>
      </c>
      <c r="CI57" s="258">
        <v>0</v>
      </c>
      <c r="CJ57" s="183"/>
      <c r="CK57" s="182">
        <v>47</v>
      </c>
      <c r="CL57" s="184" t="str">
        <f t="shared" si="6"/>
        <v>11:42:4,44</v>
      </c>
      <c r="CM57" s="185" t="str">
        <f t="shared" si="7"/>
        <v>11:47:45,77</v>
      </c>
      <c r="CN57" s="186" t="str">
        <f>IF(ISBLANK($E58),"",N57&amp;":"&amp;O57&amp;":"&amp;P57&amp;","&amp;Q57)</f>
        <v>0:0:0,0</v>
      </c>
      <c r="CO57" s="183"/>
      <c r="CP57" s="184" t="str">
        <f t="shared" si="24"/>
        <v>12:44:39,79</v>
      </c>
      <c r="CQ57" s="185" t="str">
        <f t="shared" si="25"/>
        <v>12:51:15,48</v>
      </c>
      <c r="CR57" s="186" t="str">
        <f t="shared" si="26"/>
        <v>0:0:0,0</v>
      </c>
      <c r="CS57" s="183"/>
      <c r="CT57" s="184" t="str">
        <f t="shared" si="27"/>
        <v>13:56:17,58</v>
      </c>
      <c r="CU57" s="185" t="str">
        <f t="shared" si="28"/>
        <v>14:1:56,42</v>
      </c>
      <c r="CV57" s="186" t="str">
        <f t="shared" si="29"/>
        <v>0:0:0,0</v>
      </c>
      <c r="CW57" s="183"/>
      <c r="CX57" s="184" t="str">
        <f t="shared" si="30"/>
        <v>15:20:0,88</v>
      </c>
      <c r="CY57" s="185" t="str">
        <f t="shared" si="31"/>
        <v>15:26:19,59</v>
      </c>
      <c r="CZ57" s="186" t="str">
        <f t="shared" si="32"/>
        <v>0:0:0,0</v>
      </c>
      <c r="DA57" s="183"/>
      <c r="DB57" s="184" t="str">
        <f t="shared" si="33"/>
        <v>15:52:5,56</v>
      </c>
      <c r="DC57" s="185" t="str">
        <f t="shared" si="34"/>
        <v>15:57:38,62</v>
      </c>
      <c r="DD57" s="186" t="str">
        <f t="shared" si="35"/>
        <v>0:0:0,0</v>
      </c>
      <c r="DE57" s="183"/>
      <c r="DF57" s="184" t="str">
        <f t="shared" si="36"/>
        <v>0:0:0,0</v>
      </c>
      <c r="DG57" s="185" t="str">
        <f t="shared" si="37"/>
        <v>0:0:0,0</v>
      </c>
      <c r="DH57" s="186" t="str">
        <f t="shared" si="38"/>
        <v>0:0:0,0</v>
      </c>
      <c r="DI57" s="183"/>
      <c r="DJ57" s="187" t="str">
        <f t="shared" si="39"/>
        <v>0:0:0,0</v>
      </c>
    </row>
    <row r="58" spans="2:114">
      <c r="B58" s="274">
        <f>IF(ISBLANK($E59),"",VLOOKUP($E59,Teilnehmer!$B$4:$K$199,2,0))</f>
        <v>2</v>
      </c>
      <c r="C58" s="190">
        <f>IF(ISBLANK($E59),"",VLOOKUP($E59,Teilnehmer!$B$4:$K$199,3,0))</f>
        <v>8</v>
      </c>
      <c r="D58" s="181" t="str">
        <f>IF(ISBLANK($E58),"",VLOOKUP($E58,Teilnehmer!$B$4:$K$199,4,0))</f>
        <v>Griesdorn Sebastian</v>
      </c>
      <c r="E58" s="182">
        <v>48</v>
      </c>
      <c r="F58" s="257">
        <v>11</v>
      </c>
      <c r="G58" s="255">
        <v>43</v>
      </c>
      <c r="H58" s="255">
        <v>53</v>
      </c>
      <c r="I58" s="258">
        <v>0</v>
      </c>
      <c r="J58" s="257">
        <v>11</v>
      </c>
      <c r="K58" s="255">
        <v>49</v>
      </c>
      <c r="L58" s="255">
        <v>38</v>
      </c>
      <c r="M58" s="258">
        <v>4</v>
      </c>
      <c r="N58" s="257">
        <v>0</v>
      </c>
      <c r="O58" s="255">
        <v>0</v>
      </c>
      <c r="P58" s="255">
        <v>0</v>
      </c>
      <c r="Q58" s="258">
        <v>0</v>
      </c>
      <c r="R58" s="183"/>
      <c r="S58" s="254">
        <v>12</v>
      </c>
      <c r="T58" s="255">
        <v>44</v>
      </c>
      <c r="U58" s="255">
        <v>59</v>
      </c>
      <c r="V58" s="258">
        <v>5</v>
      </c>
      <c r="W58" s="257">
        <v>12</v>
      </c>
      <c r="X58" s="255">
        <v>51</v>
      </c>
      <c r="Y58" s="255">
        <v>21</v>
      </c>
      <c r="Z58" s="256">
        <v>74</v>
      </c>
      <c r="AA58" s="257">
        <v>0</v>
      </c>
      <c r="AB58" s="255">
        <v>0</v>
      </c>
      <c r="AC58" s="255">
        <v>0</v>
      </c>
      <c r="AD58" s="258">
        <v>0</v>
      </c>
      <c r="AE58" s="183"/>
      <c r="AF58" s="254">
        <v>13</v>
      </c>
      <c r="AG58" s="255">
        <v>56</v>
      </c>
      <c r="AH58" s="255">
        <v>48</v>
      </c>
      <c r="AI58" s="256">
        <v>73</v>
      </c>
      <c r="AJ58" s="257">
        <v>14</v>
      </c>
      <c r="AK58" s="255">
        <v>2</v>
      </c>
      <c r="AL58" s="255">
        <v>27</v>
      </c>
      <c r="AM58" s="256">
        <v>52</v>
      </c>
      <c r="AN58" s="257">
        <v>0</v>
      </c>
      <c r="AO58" s="255">
        <v>0</v>
      </c>
      <c r="AP58" s="255">
        <v>0</v>
      </c>
      <c r="AQ58" s="258">
        <v>0</v>
      </c>
      <c r="AR58" s="183"/>
      <c r="AS58" s="254">
        <v>15</v>
      </c>
      <c r="AT58" s="255">
        <v>20</v>
      </c>
      <c r="AU58" s="255">
        <v>19</v>
      </c>
      <c r="AV58" s="256">
        <v>69</v>
      </c>
      <c r="AW58" s="257">
        <v>15</v>
      </c>
      <c r="AX58" s="255">
        <v>26</v>
      </c>
      <c r="AY58" s="255">
        <v>31</v>
      </c>
      <c r="AZ58" s="256">
        <v>17</v>
      </c>
      <c r="BA58" s="257">
        <v>0</v>
      </c>
      <c r="BB58" s="255">
        <v>0</v>
      </c>
      <c r="BC58" s="255">
        <v>0</v>
      </c>
      <c r="BD58" s="258">
        <v>0</v>
      </c>
      <c r="BE58" s="183"/>
      <c r="BF58" s="254">
        <v>15</v>
      </c>
      <c r="BG58" s="255">
        <v>52</v>
      </c>
      <c r="BH58" s="255">
        <v>43</v>
      </c>
      <c r="BI58" s="256">
        <v>40</v>
      </c>
      <c r="BJ58" s="257">
        <v>15</v>
      </c>
      <c r="BK58" s="255">
        <v>58</v>
      </c>
      <c r="BL58" s="255">
        <v>16</v>
      </c>
      <c r="BM58" s="256">
        <v>87</v>
      </c>
      <c r="BN58" s="257">
        <v>0</v>
      </c>
      <c r="BO58" s="255">
        <v>0</v>
      </c>
      <c r="BP58" s="255">
        <v>0</v>
      </c>
      <c r="BQ58" s="258">
        <v>0</v>
      </c>
      <c r="BR58" s="183"/>
      <c r="BS58" s="254">
        <v>0</v>
      </c>
      <c r="BT58" s="255">
        <v>0</v>
      </c>
      <c r="BU58" s="255">
        <v>0</v>
      </c>
      <c r="BV58" s="256">
        <v>0</v>
      </c>
      <c r="BW58" s="257">
        <v>0</v>
      </c>
      <c r="BX58" s="255">
        <v>0</v>
      </c>
      <c r="BY58" s="255">
        <v>0</v>
      </c>
      <c r="BZ58" s="256">
        <v>0</v>
      </c>
      <c r="CA58" s="257">
        <v>0</v>
      </c>
      <c r="CB58" s="255">
        <v>0</v>
      </c>
      <c r="CC58" s="255">
        <v>0</v>
      </c>
      <c r="CD58" s="258">
        <v>0</v>
      </c>
      <c r="CE58" s="183"/>
      <c r="CF58" s="254">
        <v>0</v>
      </c>
      <c r="CG58" s="255">
        <v>0</v>
      </c>
      <c r="CH58" s="255">
        <v>0</v>
      </c>
      <c r="CI58" s="258">
        <v>0</v>
      </c>
      <c r="CJ58" s="183"/>
      <c r="CK58" s="182">
        <v>48</v>
      </c>
      <c r="CL58" s="184" t="str">
        <f t="shared" si="6"/>
        <v>11:43:53,0</v>
      </c>
      <c r="CM58" s="185" t="str">
        <f t="shared" si="7"/>
        <v>11:49:38,4</v>
      </c>
      <c r="CN58" s="186" t="str">
        <f>IF(ISBLANK($E59),"",N58&amp;":"&amp;O58&amp;":"&amp;P58&amp;","&amp;Q58)</f>
        <v>0:0:0,0</v>
      </c>
      <c r="CO58" s="183"/>
      <c r="CP58" s="184" t="str">
        <f t="shared" si="24"/>
        <v>12:44:59,5</v>
      </c>
      <c r="CQ58" s="185" t="str">
        <f t="shared" si="25"/>
        <v>12:51:21,74</v>
      </c>
      <c r="CR58" s="186" t="str">
        <f t="shared" si="26"/>
        <v>0:0:0,0</v>
      </c>
      <c r="CS58" s="183"/>
      <c r="CT58" s="184" t="str">
        <f t="shared" si="27"/>
        <v>13:56:48,73</v>
      </c>
      <c r="CU58" s="185" t="str">
        <f t="shared" si="28"/>
        <v>14:2:27,52</v>
      </c>
      <c r="CV58" s="186" t="str">
        <f t="shared" si="29"/>
        <v>0:0:0,0</v>
      </c>
      <c r="CW58" s="183"/>
      <c r="CX58" s="184" t="str">
        <f t="shared" si="30"/>
        <v>15:20:19,69</v>
      </c>
      <c r="CY58" s="185" t="str">
        <f t="shared" si="31"/>
        <v>15:26:31,17</v>
      </c>
      <c r="CZ58" s="186" t="str">
        <f t="shared" si="32"/>
        <v>0:0:0,0</v>
      </c>
      <c r="DA58" s="183"/>
      <c r="DB58" s="184" t="str">
        <f t="shared" si="33"/>
        <v>15:52:43,40</v>
      </c>
      <c r="DC58" s="185" t="str">
        <f t="shared" si="34"/>
        <v>15:58:16,87</v>
      </c>
      <c r="DD58" s="186" t="str">
        <f t="shared" si="35"/>
        <v>0:0:0,0</v>
      </c>
      <c r="DE58" s="183"/>
      <c r="DF58" s="184" t="str">
        <f t="shared" si="36"/>
        <v>0:0:0,0</v>
      </c>
      <c r="DG58" s="185" t="str">
        <f t="shared" si="37"/>
        <v>0:0:0,0</v>
      </c>
      <c r="DH58" s="186" t="str">
        <f t="shared" si="38"/>
        <v>0:0:0,0</v>
      </c>
      <c r="DI58" s="183"/>
      <c r="DJ58" s="187" t="str">
        <f t="shared" si="39"/>
        <v>0:0:0,0</v>
      </c>
    </row>
    <row r="59" spans="2:114">
      <c r="B59" s="274">
        <f>IF(ISBLANK($E60),"",VLOOKUP($E60,Teilnehmer!$B$4:$K$199,2,0))</f>
        <v>2</v>
      </c>
      <c r="C59" s="190">
        <f>IF(ISBLANK($E60),"",VLOOKUP($E60,Teilnehmer!$B$4:$K$199,3,0))</f>
        <v>8</v>
      </c>
      <c r="D59" s="181" t="str">
        <f>IF(ISBLANK($E59),"",VLOOKUP($E59,Teilnehmer!$B$4:$K$199,4,0))</f>
        <v>Berger Axel</v>
      </c>
      <c r="E59" s="182">
        <v>49</v>
      </c>
      <c r="F59" s="257">
        <v>11</v>
      </c>
      <c r="G59" s="255">
        <v>44</v>
      </c>
      <c r="H59" s="255">
        <v>38</v>
      </c>
      <c r="I59" s="258">
        <v>65</v>
      </c>
      <c r="J59" s="257">
        <v>11</v>
      </c>
      <c r="K59" s="255">
        <v>50</v>
      </c>
      <c r="L59" s="255">
        <v>26</v>
      </c>
      <c r="M59" s="258">
        <v>2</v>
      </c>
      <c r="N59" s="257">
        <v>0</v>
      </c>
      <c r="O59" s="255">
        <v>0</v>
      </c>
      <c r="P59" s="255">
        <v>0</v>
      </c>
      <c r="Q59" s="258">
        <v>0</v>
      </c>
      <c r="R59" s="183"/>
      <c r="S59" s="218"/>
      <c r="T59" s="218"/>
      <c r="U59" s="218"/>
      <c r="V59" s="218"/>
      <c r="W59" s="218"/>
      <c r="X59" s="218"/>
      <c r="Y59" s="218"/>
      <c r="Z59" s="218"/>
      <c r="AA59" s="257">
        <v>0</v>
      </c>
      <c r="AB59" s="255">
        <v>0</v>
      </c>
      <c r="AC59" s="255">
        <v>0</v>
      </c>
      <c r="AD59" s="258">
        <v>0</v>
      </c>
      <c r="AE59" s="183"/>
      <c r="AF59" s="218"/>
      <c r="AG59" s="218"/>
      <c r="AH59" s="218"/>
      <c r="AI59" s="218"/>
      <c r="AJ59" s="218"/>
      <c r="AK59" s="218"/>
      <c r="AL59" s="218"/>
      <c r="AM59" s="218"/>
      <c r="AN59" s="257">
        <v>0</v>
      </c>
      <c r="AO59" s="255">
        <v>0</v>
      </c>
      <c r="AP59" s="255">
        <v>0</v>
      </c>
      <c r="AQ59" s="258">
        <v>0</v>
      </c>
      <c r="AR59" s="183"/>
      <c r="AS59" s="218"/>
      <c r="AT59" s="218"/>
      <c r="AU59" s="218"/>
      <c r="AV59" s="218"/>
      <c r="AW59" s="218"/>
      <c r="AX59" s="218"/>
      <c r="AY59" s="218"/>
      <c r="AZ59" s="218"/>
      <c r="BA59" s="257">
        <v>0</v>
      </c>
      <c r="BB59" s="255">
        <v>0</v>
      </c>
      <c r="BC59" s="255">
        <v>0</v>
      </c>
      <c r="BD59" s="258">
        <v>0</v>
      </c>
      <c r="BE59" s="183"/>
      <c r="BF59" s="218"/>
      <c r="BG59" s="218"/>
      <c r="BH59" s="218"/>
      <c r="BI59" s="218"/>
      <c r="BJ59" s="218"/>
      <c r="BK59" s="218"/>
      <c r="BL59" s="218"/>
      <c r="BM59" s="218"/>
      <c r="BN59" s="257">
        <v>0</v>
      </c>
      <c r="BO59" s="255">
        <v>0</v>
      </c>
      <c r="BP59" s="255">
        <v>0</v>
      </c>
      <c r="BQ59" s="258">
        <v>0</v>
      </c>
      <c r="BR59" s="183"/>
      <c r="BS59" s="254">
        <v>0</v>
      </c>
      <c r="BT59" s="255">
        <v>0</v>
      </c>
      <c r="BU59" s="255">
        <v>0</v>
      </c>
      <c r="BV59" s="256">
        <v>0</v>
      </c>
      <c r="BW59" s="257">
        <v>0</v>
      </c>
      <c r="BX59" s="255">
        <v>0</v>
      </c>
      <c r="BY59" s="255">
        <v>0</v>
      </c>
      <c r="BZ59" s="256">
        <v>0</v>
      </c>
      <c r="CA59" s="257">
        <v>0</v>
      </c>
      <c r="CB59" s="255">
        <v>0</v>
      </c>
      <c r="CC59" s="255">
        <v>0</v>
      </c>
      <c r="CD59" s="258">
        <v>0</v>
      </c>
      <c r="CE59" s="183"/>
      <c r="CF59" s="254">
        <v>0</v>
      </c>
      <c r="CG59" s="255">
        <v>0</v>
      </c>
      <c r="CH59" s="255">
        <v>0</v>
      </c>
      <c r="CI59" s="258">
        <v>0</v>
      </c>
      <c r="CJ59" s="183"/>
      <c r="CK59" s="182">
        <v>49</v>
      </c>
      <c r="CL59" s="184" t="str">
        <f t="shared" si="6"/>
        <v>11:44:38,65</v>
      </c>
      <c r="CM59" s="185" t="str">
        <f t="shared" si="7"/>
        <v>11:50:26,2</v>
      </c>
      <c r="CN59" s="186" t="str">
        <f>IF(ISBLANK($E60),"",N59&amp;":"&amp;O59&amp;":"&amp;P59&amp;","&amp;Q59)</f>
        <v>0:0:0,0</v>
      </c>
      <c r="CO59" s="183"/>
      <c r="CP59" s="184" t="str">
        <f t="shared" si="24"/>
        <v>::,</v>
      </c>
      <c r="CQ59" s="185" t="str">
        <f t="shared" si="25"/>
        <v>::,</v>
      </c>
      <c r="CR59" s="186" t="str">
        <f t="shared" si="26"/>
        <v>0:0:0,0</v>
      </c>
      <c r="CS59" s="183"/>
      <c r="CT59" s="184" t="str">
        <f t="shared" si="27"/>
        <v>::,</v>
      </c>
      <c r="CU59" s="185" t="str">
        <f t="shared" si="28"/>
        <v>::,</v>
      </c>
      <c r="CV59" s="186" t="str">
        <f t="shared" si="29"/>
        <v>0:0:0,0</v>
      </c>
      <c r="CW59" s="183"/>
      <c r="CX59" s="184" t="str">
        <f t="shared" si="30"/>
        <v>::,</v>
      </c>
      <c r="CY59" s="185" t="str">
        <f t="shared" si="31"/>
        <v>::,</v>
      </c>
      <c r="CZ59" s="186" t="str">
        <f t="shared" si="32"/>
        <v>0:0:0,0</v>
      </c>
      <c r="DA59" s="183"/>
      <c r="DB59" s="184" t="str">
        <f t="shared" si="33"/>
        <v>::,</v>
      </c>
      <c r="DC59" s="185" t="str">
        <f t="shared" si="34"/>
        <v>::,</v>
      </c>
      <c r="DD59" s="186" t="str">
        <f t="shared" si="35"/>
        <v>0:0:0,0</v>
      </c>
      <c r="DE59" s="183"/>
      <c r="DF59" s="184" t="str">
        <f t="shared" si="36"/>
        <v>0:0:0,0</v>
      </c>
      <c r="DG59" s="185" t="str">
        <f t="shared" si="37"/>
        <v>0:0:0,0</v>
      </c>
      <c r="DH59" s="186" t="str">
        <f t="shared" si="38"/>
        <v>0:0:0,0</v>
      </c>
      <c r="DI59" s="183"/>
      <c r="DJ59" s="187" t="str">
        <f t="shared" si="39"/>
        <v>0:0:0,0</v>
      </c>
    </row>
    <row r="60" spans="2:114">
      <c r="B60" s="274">
        <f>IF(ISBLANK($E61),"",VLOOKUP($E61,Teilnehmer!$B$4:$K$199,2,0))</f>
        <v>2</v>
      </c>
      <c r="C60" s="190">
        <f>IF(ISBLANK($E61),"",VLOOKUP($E61,Teilnehmer!$B$4:$K$199,3,0))</f>
        <v>7</v>
      </c>
      <c r="D60" s="181" t="str">
        <f>IF(ISBLANK($E60),"",VLOOKUP($E60,Teilnehmer!$B$4:$K$199,4,0))</f>
        <v>Werner Harald</v>
      </c>
      <c r="E60" s="182">
        <v>50</v>
      </c>
      <c r="F60" s="257">
        <v>11</v>
      </c>
      <c r="G60" s="255">
        <v>45</v>
      </c>
      <c r="H60" s="255">
        <v>4</v>
      </c>
      <c r="I60" s="258">
        <v>40</v>
      </c>
      <c r="J60" s="257">
        <v>11</v>
      </c>
      <c r="K60" s="255">
        <v>51</v>
      </c>
      <c r="L60" s="255">
        <v>15</v>
      </c>
      <c r="M60" s="258">
        <v>98</v>
      </c>
      <c r="N60" s="257">
        <v>0</v>
      </c>
      <c r="O60" s="255">
        <v>0</v>
      </c>
      <c r="P60" s="255">
        <v>0</v>
      </c>
      <c r="Q60" s="258">
        <v>0</v>
      </c>
      <c r="R60" s="183"/>
      <c r="S60" s="254">
        <v>12</v>
      </c>
      <c r="T60" s="255">
        <v>45</v>
      </c>
      <c r="U60" s="255">
        <v>15</v>
      </c>
      <c r="V60" s="258">
        <v>32</v>
      </c>
      <c r="W60" s="257">
        <v>12</v>
      </c>
      <c r="X60" s="255">
        <v>51</v>
      </c>
      <c r="Y60" s="255">
        <v>58</v>
      </c>
      <c r="Z60" s="256">
        <v>85</v>
      </c>
      <c r="AA60" s="257">
        <v>0</v>
      </c>
      <c r="AB60" s="255">
        <v>0</v>
      </c>
      <c r="AC60" s="255">
        <v>0</v>
      </c>
      <c r="AD60" s="258">
        <v>0</v>
      </c>
      <c r="AE60" s="183"/>
      <c r="AF60" s="254">
        <v>13</v>
      </c>
      <c r="AG60" s="255">
        <v>57</v>
      </c>
      <c r="AH60" s="255">
        <v>20</v>
      </c>
      <c r="AI60" s="256">
        <v>7</v>
      </c>
      <c r="AJ60" s="257">
        <v>14</v>
      </c>
      <c r="AK60" s="255">
        <v>3</v>
      </c>
      <c r="AL60" s="255">
        <v>23</v>
      </c>
      <c r="AM60" s="256">
        <v>0</v>
      </c>
      <c r="AN60" s="257">
        <v>0</v>
      </c>
      <c r="AO60" s="255">
        <v>0</v>
      </c>
      <c r="AP60" s="255">
        <v>0</v>
      </c>
      <c r="AQ60" s="258">
        <v>0</v>
      </c>
      <c r="AR60" s="183"/>
      <c r="AS60" s="254">
        <v>15</v>
      </c>
      <c r="AT60" s="255">
        <v>20</v>
      </c>
      <c r="AU60" s="255">
        <v>39</v>
      </c>
      <c r="AV60" s="256">
        <v>93</v>
      </c>
      <c r="AW60" s="257">
        <v>15</v>
      </c>
      <c r="AX60" s="255">
        <v>27</v>
      </c>
      <c r="AY60" s="255">
        <v>12</v>
      </c>
      <c r="AZ60" s="256">
        <v>98</v>
      </c>
      <c r="BA60" s="257">
        <v>0</v>
      </c>
      <c r="BB60" s="255">
        <v>0</v>
      </c>
      <c r="BC60" s="255">
        <v>0</v>
      </c>
      <c r="BD60" s="258">
        <v>0</v>
      </c>
      <c r="BE60" s="183"/>
      <c r="BF60" s="254">
        <v>15</v>
      </c>
      <c r="BG60" s="255">
        <v>53</v>
      </c>
      <c r="BH60" s="255">
        <v>36</v>
      </c>
      <c r="BI60" s="256">
        <v>71</v>
      </c>
      <c r="BJ60" s="257">
        <v>15</v>
      </c>
      <c r="BK60" s="255">
        <v>59</v>
      </c>
      <c r="BL60" s="255">
        <v>31</v>
      </c>
      <c r="BM60" s="256">
        <v>90</v>
      </c>
      <c r="BN60" s="257">
        <v>0</v>
      </c>
      <c r="BO60" s="255">
        <v>0</v>
      </c>
      <c r="BP60" s="255">
        <v>0</v>
      </c>
      <c r="BQ60" s="258">
        <v>0</v>
      </c>
      <c r="BR60" s="183"/>
      <c r="BS60" s="254">
        <v>0</v>
      </c>
      <c r="BT60" s="255">
        <v>0</v>
      </c>
      <c r="BU60" s="255">
        <v>0</v>
      </c>
      <c r="BV60" s="256">
        <v>0</v>
      </c>
      <c r="BW60" s="257">
        <v>0</v>
      </c>
      <c r="BX60" s="255">
        <v>0</v>
      </c>
      <c r="BY60" s="255">
        <v>0</v>
      </c>
      <c r="BZ60" s="256">
        <v>0</v>
      </c>
      <c r="CA60" s="257">
        <v>0</v>
      </c>
      <c r="CB60" s="255">
        <v>0</v>
      </c>
      <c r="CC60" s="255">
        <v>0</v>
      </c>
      <c r="CD60" s="258">
        <v>0</v>
      </c>
      <c r="CE60" s="183"/>
      <c r="CF60" s="254">
        <v>0</v>
      </c>
      <c r="CG60" s="255">
        <v>0</v>
      </c>
      <c r="CH60" s="255">
        <v>0</v>
      </c>
      <c r="CI60" s="258">
        <v>0</v>
      </c>
      <c r="CJ60" s="183"/>
      <c r="CK60" s="182">
        <v>50</v>
      </c>
      <c r="CL60" s="184" t="str">
        <f t="shared" si="6"/>
        <v>11:45:4,40</v>
      </c>
      <c r="CM60" s="185" t="str">
        <f t="shared" si="7"/>
        <v>11:51:15,98</v>
      </c>
      <c r="CN60" s="186" t="str">
        <f>IF(ISBLANK($E61),"",N60&amp;":"&amp;O60&amp;":"&amp;P60&amp;","&amp;Q60)</f>
        <v>0:0:0,0</v>
      </c>
      <c r="CO60" s="183"/>
      <c r="CP60" s="184" t="str">
        <f t="shared" si="24"/>
        <v>12:45:15,32</v>
      </c>
      <c r="CQ60" s="185" t="str">
        <f t="shared" si="25"/>
        <v>12:51:58,85</v>
      </c>
      <c r="CR60" s="186" t="str">
        <f t="shared" si="26"/>
        <v>0:0:0,0</v>
      </c>
      <c r="CS60" s="183"/>
      <c r="CT60" s="184" t="str">
        <f t="shared" si="27"/>
        <v>13:57:20,7</v>
      </c>
      <c r="CU60" s="185" t="str">
        <f t="shared" si="28"/>
        <v>14:3:23,0</v>
      </c>
      <c r="CV60" s="186" t="str">
        <f t="shared" si="29"/>
        <v>0:0:0,0</v>
      </c>
      <c r="CW60" s="183"/>
      <c r="CX60" s="184" t="str">
        <f t="shared" si="30"/>
        <v>15:20:39,93</v>
      </c>
      <c r="CY60" s="185" t="str">
        <f t="shared" si="31"/>
        <v>15:27:12,98</v>
      </c>
      <c r="CZ60" s="186" t="str">
        <f t="shared" si="32"/>
        <v>0:0:0,0</v>
      </c>
      <c r="DA60" s="183"/>
      <c r="DB60" s="184" t="str">
        <f t="shared" si="33"/>
        <v>15:53:36,71</v>
      </c>
      <c r="DC60" s="185" t="str">
        <f t="shared" si="34"/>
        <v>15:59:31,90</v>
      </c>
      <c r="DD60" s="186" t="str">
        <f t="shared" si="35"/>
        <v>0:0:0,0</v>
      </c>
      <c r="DE60" s="183"/>
      <c r="DF60" s="184" t="str">
        <f t="shared" si="36"/>
        <v>0:0:0,0</v>
      </c>
      <c r="DG60" s="185" t="str">
        <f t="shared" si="37"/>
        <v>0:0:0,0</v>
      </c>
      <c r="DH60" s="186" t="str">
        <f t="shared" si="38"/>
        <v>0:0:0,0</v>
      </c>
      <c r="DI60" s="183"/>
      <c r="DJ60" s="187" t="str">
        <f t="shared" si="39"/>
        <v>0:0:0,0</v>
      </c>
    </row>
    <row r="61" spans="2:114">
      <c r="B61" s="274">
        <f>IF(ISBLANK($E62),"",VLOOKUP($E62,Teilnehmer!$B$4:$K$199,2,0))</f>
        <v>2</v>
      </c>
      <c r="C61" s="190">
        <f>IF(ISBLANK($E62),"",VLOOKUP($E62,Teilnehmer!$B$4:$K$199,3,0))</f>
        <v>7</v>
      </c>
      <c r="D61" s="181" t="str">
        <f>IF(ISBLANK($E61),"",VLOOKUP($E61,Teilnehmer!$B$4:$K$199,4,0))</f>
        <v>Schützmeier Stefan</v>
      </c>
      <c r="E61" s="182">
        <v>51</v>
      </c>
      <c r="F61" s="257">
        <v>11</v>
      </c>
      <c r="G61" s="255">
        <v>47</v>
      </c>
      <c r="H61" s="255">
        <v>9</v>
      </c>
      <c r="I61" s="258">
        <v>49</v>
      </c>
      <c r="J61" s="257">
        <v>11</v>
      </c>
      <c r="K61" s="255">
        <v>52</v>
      </c>
      <c r="L61" s="255">
        <v>47</v>
      </c>
      <c r="M61" s="258">
        <v>46</v>
      </c>
      <c r="N61" s="257">
        <v>0</v>
      </c>
      <c r="O61" s="255">
        <v>0</v>
      </c>
      <c r="P61" s="255">
        <v>0</v>
      </c>
      <c r="Q61" s="258">
        <v>0</v>
      </c>
      <c r="R61" s="183"/>
      <c r="S61" s="254">
        <v>12</v>
      </c>
      <c r="T61" s="255">
        <v>45</v>
      </c>
      <c r="U61" s="255">
        <v>32</v>
      </c>
      <c r="V61" s="258">
        <v>54</v>
      </c>
      <c r="W61" s="257">
        <v>12</v>
      </c>
      <c r="X61" s="255">
        <v>51</v>
      </c>
      <c r="Y61" s="255">
        <v>46</v>
      </c>
      <c r="Z61" s="256">
        <v>73</v>
      </c>
      <c r="AA61" s="257">
        <v>0</v>
      </c>
      <c r="AB61" s="255">
        <v>0</v>
      </c>
      <c r="AC61" s="255">
        <v>0</v>
      </c>
      <c r="AD61" s="258">
        <v>0</v>
      </c>
      <c r="AE61" s="183"/>
      <c r="AF61" s="254">
        <v>13</v>
      </c>
      <c r="AG61" s="255">
        <v>58</v>
      </c>
      <c r="AH61" s="255">
        <v>9</v>
      </c>
      <c r="AI61" s="256">
        <v>58</v>
      </c>
      <c r="AJ61" s="257">
        <v>14</v>
      </c>
      <c r="AK61" s="255">
        <v>3</v>
      </c>
      <c r="AL61" s="255">
        <v>38</v>
      </c>
      <c r="AM61" s="256">
        <v>71</v>
      </c>
      <c r="AN61" s="257">
        <v>0</v>
      </c>
      <c r="AO61" s="255">
        <v>0</v>
      </c>
      <c r="AP61" s="255">
        <v>0</v>
      </c>
      <c r="AQ61" s="258">
        <v>0</v>
      </c>
      <c r="AR61" s="183"/>
      <c r="AS61" s="254">
        <v>15</v>
      </c>
      <c r="AT61" s="255">
        <v>25</v>
      </c>
      <c r="AU61" s="255">
        <v>18</v>
      </c>
      <c r="AV61" s="256">
        <v>27</v>
      </c>
      <c r="AW61" s="257">
        <v>15</v>
      </c>
      <c r="AX61" s="255">
        <v>31</v>
      </c>
      <c r="AY61" s="255">
        <v>29</v>
      </c>
      <c r="AZ61" s="256">
        <v>55</v>
      </c>
      <c r="BA61" s="257">
        <v>0</v>
      </c>
      <c r="BB61" s="255">
        <v>0</v>
      </c>
      <c r="BC61" s="255">
        <v>0</v>
      </c>
      <c r="BD61" s="258">
        <v>0</v>
      </c>
      <c r="BE61" s="183"/>
      <c r="BF61" s="254">
        <v>15</v>
      </c>
      <c r="BG61" s="255">
        <v>56</v>
      </c>
      <c r="BH61" s="255">
        <v>45</v>
      </c>
      <c r="BI61" s="256">
        <v>70</v>
      </c>
      <c r="BJ61" s="257">
        <v>16</v>
      </c>
      <c r="BK61" s="255">
        <v>2</v>
      </c>
      <c r="BL61" s="255">
        <v>14</v>
      </c>
      <c r="BM61" s="256">
        <v>33</v>
      </c>
      <c r="BN61" s="257">
        <v>0</v>
      </c>
      <c r="BO61" s="255">
        <v>0</v>
      </c>
      <c r="BP61" s="255">
        <v>0</v>
      </c>
      <c r="BQ61" s="258">
        <v>0</v>
      </c>
      <c r="BR61" s="183"/>
      <c r="BS61" s="254">
        <v>0</v>
      </c>
      <c r="BT61" s="255">
        <v>0</v>
      </c>
      <c r="BU61" s="255">
        <v>0</v>
      </c>
      <c r="BV61" s="256">
        <v>0</v>
      </c>
      <c r="BW61" s="257">
        <v>0</v>
      </c>
      <c r="BX61" s="255">
        <v>0</v>
      </c>
      <c r="BY61" s="255">
        <v>0</v>
      </c>
      <c r="BZ61" s="256">
        <v>0</v>
      </c>
      <c r="CA61" s="257">
        <v>0</v>
      </c>
      <c r="CB61" s="255">
        <v>0</v>
      </c>
      <c r="CC61" s="255">
        <v>0</v>
      </c>
      <c r="CD61" s="258">
        <v>0</v>
      </c>
      <c r="CE61" s="183"/>
      <c r="CF61" s="254">
        <v>0</v>
      </c>
      <c r="CG61" s="255">
        <v>0</v>
      </c>
      <c r="CH61" s="255">
        <v>0</v>
      </c>
      <c r="CI61" s="258">
        <v>0</v>
      </c>
      <c r="CJ61" s="183"/>
      <c r="CK61" s="182">
        <v>51</v>
      </c>
      <c r="CL61" s="184" t="str">
        <f t="shared" si="6"/>
        <v>11:47:9,49</v>
      </c>
      <c r="CM61" s="185" t="str">
        <f t="shared" si="7"/>
        <v>11:52:47,46</v>
      </c>
      <c r="CN61" s="186" t="str">
        <f>IF(ISBLANK($E62),"",N61&amp;":"&amp;O61&amp;":"&amp;P61&amp;","&amp;Q61)</f>
        <v>0:0:0,0</v>
      </c>
      <c r="CO61" s="183"/>
      <c r="CP61" s="184" t="str">
        <f t="shared" si="24"/>
        <v>12:45:32,54</v>
      </c>
      <c r="CQ61" s="185" t="str">
        <f t="shared" si="25"/>
        <v>12:51:46,73</v>
      </c>
      <c r="CR61" s="186" t="str">
        <f t="shared" si="26"/>
        <v>0:0:0,0</v>
      </c>
      <c r="CS61" s="183"/>
      <c r="CT61" s="184" t="str">
        <f t="shared" si="27"/>
        <v>13:58:9,58</v>
      </c>
      <c r="CU61" s="185" t="str">
        <f t="shared" si="28"/>
        <v>14:3:38,71</v>
      </c>
      <c r="CV61" s="186" t="str">
        <f t="shared" si="29"/>
        <v>0:0:0,0</v>
      </c>
      <c r="CW61" s="183"/>
      <c r="CX61" s="184" t="str">
        <f t="shared" si="30"/>
        <v>15:25:18,27</v>
      </c>
      <c r="CY61" s="185" t="str">
        <f t="shared" si="31"/>
        <v>15:31:29,55</v>
      </c>
      <c r="CZ61" s="186" t="str">
        <f t="shared" si="32"/>
        <v>0:0:0,0</v>
      </c>
      <c r="DA61" s="183"/>
      <c r="DB61" s="184" t="str">
        <f t="shared" si="33"/>
        <v>15:56:45,70</v>
      </c>
      <c r="DC61" s="185" t="str">
        <f t="shared" si="34"/>
        <v>16:2:14,33</v>
      </c>
      <c r="DD61" s="186" t="str">
        <f t="shared" si="35"/>
        <v>0:0:0,0</v>
      </c>
      <c r="DE61" s="183"/>
      <c r="DF61" s="184" t="str">
        <f t="shared" si="36"/>
        <v>0:0:0,0</v>
      </c>
      <c r="DG61" s="185" t="str">
        <f t="shared" si="37"/>
        <v>0:0:0,0</v>
      </c>
      <c r="DH61" s="186" t="str">
        <f t="shared" si="38"/>
        <v>0:0:0,0</v>
      </c>
      <c r="DI61" s="183"/>
      <c r="DJ61" s="187" t="str">
        <f t="shared" si="39"/>
        <v>0:0:0,0</v>
      </c>
    </row>
    <row r="62" spans="2:114">
      <c r="B62" s="274">
        <f>IF(ISBLANK($E63),"",VLOOKUP($E63,Teilnehmer!$B$4:$K$199,2,0))</f>
        <v>2</v>
      </c>
      <c r="C62" s="190">
        <f>IF(ISBLANK($E63),"",VLOOKUP($E63,Teilnehmer!$B$4:$K$199,3,0))</f>
        <v>7</v>
      </c>
      <c r="D62" s="181" t="str">
        <f>IF(ISBLANK($E62),"",VLOOKUP($E62,Teilnehmer!$B$4:$K$199,4,0))</f>
        <v>Thiel Rainer</v>
      </c>
      <c r="E62" s="182">
        <v>52</v>
      </c>
      <c r="F62" s="257">
        <v>11</v>
      </c>
      <c r="G62" s="255">
        <v>47</v>
      </c>
      <c r="H62" s="255">
        <v>51</v>
      </c>
      <c r="I62" s="258">
        <v>4</v>
      </c>
      <c r="J62" s="257">
        <v>11</v>
      </c>
      <c r="K62" s="255">
        <v>54</v>
      </c>
      <c r="L62" s="255">
        <v>1</v>
      </c>
      <c r="M62" s="258">
        <v>30</v>
      </c>
      <c r="N62" s="257">
        <v>0</v>
      </c>
      <c r="O62" s="255">
        <v>0</v>
      </c>
      <c r="P62" s="255">
        <v>0</v>
      </c>
      <c r="Q62" s="258">
        <v>0</v>
      </c>
      <c r="R62" s="183"/>
      <c r="S62" s="254">
        <v>12</v>
      </c>
      <c r="T62" s="255">
        <v>45</v>
      </c>
      <c r="U62" s="255">
        <v>47</v>
      </c>
      <c r="V62" s="258">
        <v>47</v>
      </c>
      <c r="W62" s="257">
        <v>12</v>
      </c>
      <c r="X62" s="255">
        <v>52</v>
      </c>
      <c r="Y62" s="255">
        <v>23</v>
      </c>
      <c r="Z62" s="256">
        <v>81</v>
      </c>
      <c r="AA62" s="257">
        <v>0</v>
      </c>
      <c r="AB62" s="255">
        <v>0</v>
      </c>
      <c r="AC62" s="255">
        <v>0</v>
      </c>
      <c r="AD62" s="258">
        <v>0</v>
      </c>
      <c r="AE62" s="183"/>
      <c r="AF62" s="254">
        <v>14</v>
      </c>
      <c r="AG62" s="255">
        <v>0</v>
      </c>
      <c r="AH62" s="255">
        <v>0</v>
      </c>
      <c r="AI62" s="256">
        <v>27</v>
      </c>
      <c r="AJ62" s="257">
        <v>14</v>
      </c>
      <c r="AK62" s="255">
        <v>6</v>
      </c>
      <c r="AL62" s="255">
        <v>6</v>
      </c>
      <c r="AM62" s="256">
        <v>63</v>
      </c>
      <c r="AN62" s="257">
        <v>0</v>
      </c>
      <c r="AO62" s="255">
        <v>0</v>
      </c>
      <c r="AP62" s="255">
        <v>0</v>
      </c>
      <c r="AQ62" s="258">
        <v>0</v>
      </c>
      <c r="AR62" s="183"/>
      <c r="AS62" s="218"/>
      <c r="AT62" s="218"/>
      <c r="AU62" s="218"/>
      <c r="AV62" s="218"/>
      <c r="AW62" s="218"/>
      <c r="AX62" s="218"/>
      <c r="AY62" s="218"/>
      <c r="AZ62" s="218"/>
      <c r="BA62" s="257">
        <v>0</v>
      </c>
      <c r="BB62" s="255">
        <v>0</v>
      </c>
      <c r="BC62" s="255">
        <v>0</v>
      </c>
      <c r="BD62" s="258">
        <v>0</v>
      </c>
      <c r="BE62" s="183"/>
      <c r="BF62" s="218"/>
      <c r="BG62" s="218"/>
      <c r="BH62" s="218"/>
      <c r="BI62" s="218"/>
      <c r="BJ62" s="218"/>
      <c r="BK62" s="218"/>
      <c r="BL62" s="218"/>
      <c r="BM62" s="218"/>
      <c r="BN62" s="257">
        <v>0</v>
      </c>
      <c r="BO62" s="255">
        <v>0</v>
      </c>
      <c r="BP62" s="255">
        <v>0</v>
      </c>
      <c r="BQ62" s="258">
        <v>0</v>
      </c>
      <c r="BR62" s="183"/>
      <c r="BS62" s="254">
        <v>0</v>
      </c>
      <c r="BT62" s="255">
        <v>0</v>
      </c>
      <c r="BU62" s="255">
        <v>0</v>
      </c>
      <c r="BV62" s="256">
        <v>0</v>
      </c>
      <c r="BW62" s="257">
        <v>0</v>
      </c>
      <c r="BX62" s="255">
        <v>0</v>
      </c>
      <c r="BY62" s="255">
        <v>0</v>
      </c>
      <c r="BZ62" s="256">
        <v>0</v>
      </c>
      <c r="CA62" s="257">
        <v>0</v>
      </c>
      <c r="CB62" s="255">
        <v>0</v>
      </c>
      <c r="CC62" s="255">
        <v>0</v>
      </c>
      <c r="CD62" s="258">
        <v>0</v>
      </c>
      <c r="CE62" s="183"/>
      <c r="CF62" s="254">
        <v>0</v>
      </c>
      <c r="CG62" s="255">
        <v>0</v>
      </c>
      <c r="CH62" s="255">
        <v>0</v>
      </c>
      <c r="CI62" s="258">
        <v>0</v>
      </c>
      <c r="CJ62" s="183"/>
      <c r="CK62" s="182">
        <v>52</v>
      </c>
      <c r="CL62" s="184" t="str">
        <f t="shared" si="6"/>
        <v>11:47:51,4</v>
      </c>
      <c r="CM62" s="185" t="str">
        <f t="shared" si="7"/>
        <v>11:54:1,30</v>
      </c>
      <c r="CN62" s="186" t="str">
        <f>IF(ISBLANK($E63),"",N62&amp;":"&amp;O62&amp;":"&amp;P62&amp;","&amp;Q62)</f>
        <v>0:0:0,0</v>
      </c>
      <c r="CO62" s="183"/>
      <c r="CP62" s="184" t="str">
        <f t="shared" si="24"/>
        <v>12:45:47,47</v>
      </c>
      <c r="CQ62" s="185" t="str">
        <f t="shared" si="25"/>
        <v>12:52:23,81</v>
      </c>
      <c r="CR62" s="186" t="str">
        <f t="shared" si="26"/>
        <v>0:0:0,0</v>
      </c>
      <c r="CS62" s="183"/>
      <c r="CT62" s="184" t="str">
        <f t="shared" si="27"/>
        <v>14:0:0,27</v>
      </c>
      <c r="CU62" s="185" t="str">
        <f t="shared" si="28"/>
        <v>14:6:6,63</v>
      </c>
      <c r="CV62" s="186" t="str">
        <f t="shared" si="29"/>
        <v>0:0:0,0</v>
      </c>
      <c r="CW62" s="183"/>
      <c r="CX62" s="184" t="str">
        <f t="shared" si="30"/>
        <v>::,</v>
      </c>
      <c r="CY62" s="185" t="str">
        <f t="shared" si="31"/>
        <v>::,</v>
      </c>
      <c r="CZ62" s="186" t="str">
        <f t="shared" si="32"/>
        <v>0:0:0,0</v>
      </c>
      <c r="DA62" s="183"/>
      <c r="DB62" s="184" t="str">
        <f t="shared" si="33"/>
        <v>::,</v>
      </c>
      <c r="DC62" s="185" t="str">
        <f t="shared" si="34"/>
        <v>::,</v>
      </c>
      <c r="DD62" s="186" t="str">
        <f t="shared" si="35"/>
        <v>0:0:0,0</v>
      </c>
      <c r="DE62" s="183"/>
      <c r="DF62" s="184" t="str">
        <f t="shared" si="36"/>
        <v>0:0:0,0</v>
      </c>
      <c r="DG62" s="185" t="str">
        <f t="shared" si="37"/>
        <v>0:0:0,0</v>
      </c>
      <c r="DH62" s="186" t="str">
        <f t="shared" si="38"/>
        <v>0:0:0,0</v>
      </c>
      <c r="DI62" s="183"/>
      <c r="DJ62" s="187" t="str">
        <f t="shared" si="39"/>
        <v>0:0:0,0</v>
      </c>
    </row>
    <row r="63" spans="2:114">
      <c r="B63" s="274">
        <f>IF(ISBLANK($E64),"",VLOOKUP($E64,Teilnehmer!$B$4:$K$199,2,0))</f>
        <v>1</v>
      </c>
      <c r="C63" s="190">
        <f>IF(ISBLANK($E64),"",VLOOKUP($E64,Teilnehmer!$B$4:$K$199,3,0))</f>
        <v>5</v>
      </c>
      <c r="D63" s="181" t="str">
        <f>IF(ISBLANK($E63),"",VLOOKUP($E63,Teilnehmer!$B$4:$K$199,4,0))</f>
        <v>Sarkowski Alfred</v>
      </c>
      <c r="E63" s="182">
        <v>53</v>
      </c>
      <c r="F63" s="257">
        <v>11</v>
      </c>
      <c r="G63" s="255">
        <v>48</v>
      </c>
      <c r="H63" s="255">
        <v>36</v>
      </c>
      <c r="I63" s="258">
        <v>41</v>
      </c>
      <c r="J63" s="257">
        <v>11</v>
      </c>
      <c r="K63" s="255">
        <v>54</v>
      </c>
      <c r="L63" s="255">
        <v>58</v>
      </c>
      <c r="M63" s="258">
        <v>16</v>
      </c>
      <c r="N63" s="257">
        <v>0</v>
      </c>
      <c r="O63" s="255">
        <v>0</v>
      </c>
      <c r="P63" s="255">
        <v>0</v>
      </c>
      <c r="Q63" s="258">
        <v>0</v>
      </c>
      <c r="R63" s="183"/>
      <c r="S63" s="254">
        <v>12</v>
      </c>
      <c r="T63" s="255">
        <v>50</v>
      </c>
      <c r="U63" s="255">
        <v>30</v>
      </c>
      <c r="V63" s="258">
        <v>23</v>
      </c>
      <c r="W63" s="257">
        <v>12</v>
      </c>
      <c r="X63" s="255">
        <v>57</v>
      </c>
      <c r="Y63" s="255">
        <v>25</v>
      </c>
      <c r="Z63" s="256">
        <v>29</v>
      </c>
      <c r="AA63" s="257">
        <v>0</v>
      </c>
      <c r="AB63" s="255">
        <v>0</v>
      </c>
      <c r="AC63" s="255">
        <v>0</v>
      </c>
      <c r="AD63" s="258">
        <v>0</v>
      </c>
      <c r="AE63" s="183"/>
      <c r="AF63" s="254">
        <v>14</v>
      </c>
      <c r="AG63" s="255">
        <v>1</v>
      </c>
      <c r="AH63" s="255">
        <v>0</v>
      </c>
      <c r="AI63" s="256">
        <v>86</v>
      </c>
      <c r="AJ63" s="257">
        <v>14</v>
      </c>
      <c r="AK63" s="255">
        <v>7</v>
      </c>
      <c r="AL63" s="255">
        <v>17</v>
      </c>
      <c r="AM63" s="256">
        <v>95</v>
      </c>
      <c r="AN63" s="257">
        <v>0</v>
      </c>
      <c r="AO63" s="255">
        <v>0</v>
      </c>
      <c r="AP63" s="255">
        <v>0</v>
      </c>
      <c r="AQ63" s="258">
        <v>0</v>
      </c>
      <c r="AR63" s="183"/>
      <c r="AS63" s="254">
        <v>15</v>
      </c>
      <c r="AT63" s="255">
        <v>25</v>
      </c>
      <c r="AU63" s="255">
        <v>37</v>
      </c>
      <c r="AV63" s="256">
        <v>90</v>
      </c>
      <c r="AW63" s="218"/>
      <c r="AX63" s="218"/>
      <c r="AY63" s="218"/>
      <c r="AZ63" s="218"/>
      <c r="BA63" s="257">
        <v>0</v>
      </c>
      <c r="BB63" s="255">
        <v>0</v>
      </c>
      <c r="BC63" s="255">
        <v>0</v>
      </c>
      <c r="BD63" s="258">
        <v>0</v>
      </c>
      <c r="BE63" s="183"/>
      <c r="BF63" s="218"/>
      <c r="BG63" s="218"/>
      <c r="BH63" s="218"/>
      <c r="BI63" s="218"/>
      <c r="BJ63" s="218"/>
      <c r="BK63" s="218"/>
      <c r="BL63" s="218"/>
      <c r="BM63" s="218"/>
      <c r="BN63" s="257">
        <v>0</v>
      </c>
      <c r="BO63" s="255">
        <v>0</v>
      </c>
      <c r="BP63" s="255">
        <v>0</v>
      </c>
      <c r="BQ63" s="258">
        <v>0</v>
      </c>
      <c r="BR63" s="183"/>
      <c r="BS63" s="254">
        <v>0</v>
      </c>
      <c r="BT63" s="255">
        <v>0</v>
      </c>
      <c r="BU63" s="255">
        <v>0</v>
      </c>
      <c r="BV63" s="256">
        <v>0</v>
      </c>
      <c r="BW63" s="257">
        <v>0</v>
      </c>
      <c r="BX63" s="255">
        <v>0</v>
      </c>
      <c r="BY63" s="255">
        <v>0</v>
      </c>
      <c r="BZ63" s="256">
        <v>0</v>
      </c>
      <c r="CA63" s="257">
        <v>0</v>
      </c>
      <c r="CB63" s="255">
        <v>0</v>
      </c>
      <c r="CC63" s="255">
        <v>0</v>
      </c>
      <c r="CD63" s="258">
        <v>0</v>
      </c>
      <c r="CE63" s="183"/>
      <c r="CF63" s="254">
        <v>0</v>
      </c>
      <c r="CG63" s="255">
        <v>0</v>
      </c>
      <c r="CH63" s="255">
        <v>0</v>
      </c>
      <c r="CI63" s="258">
        <v>0</v>
      </c>
      <c r="CJ63" s="183"/>
      <c r="CK63" s="182">
        <v>53</v>
      </c>
      <c r="CL63" s="184" t="str">
        <f t="shared" si="6"/>
        <v>11:48:36,41</v>
      </c>
      <c r="CM63" s="185" t="str">
        <f t="shared" si="7"/>
        <v>11:54:58,16</v>
      </c>
      <c r="CN63" s="186" t="str">
        <f>IF(ISBLANK($E64),"",N63&amp;":"&amp;O63&amp;":"&amp;P63&amp;","&amp;Q63)</f>
        <v>0:0:0,0</v>
      </c>
      <c r="CO63" s="183"/>
      <c r="CP63" s="184" t="str">
        <f t="shared" si="24"/>
        <v>12:50:30,23</v>
      </c>
      <c r="CQ63" s="185" t="str">
        <f t="shared" si="25"/>
        <v>12:57:25,29</v>
      </c>
      <c r="CR63" s="186" t="str">
        <f t="shared" si="26"/>
        <v>0:0:0,0</v>
      </c>
      <c r="CS63" s="183"/>
      <c r="CT63" s="184" t="str">
        <f t="shared" si="27"/>
        <v>14:1:0,86</v>
      </c>
      <c r="CU63" s="185" t="str">
        <f t="shared" si="28"/>
        <v>14:7:17,95</v>
      </c>
      <c r="CV63" s="186" t="str">
        <f t="shared" si="29"/>
        <v>0:0:0,0</v>
      </c>
      <c r="CW63" s="183"/>
      <c r="CX63" s="184" t="str">
        <f t="shared" si="30"/>
        <v>15:25:37,90</v>
      </c>
      <c r="CY63" s="185" t="str">
        <f t="shared" si="31"/>
        <v>::,</v>
      </c>
      <c r="CZ63" s="186" t="str">
        <f t="shared" si="32"/>
        <v>0:0:0,0</v>
      </c>
      <c r="DA63" s="183"/>
      <c r="DB63" s="184" t="str">
        <f t="shared" si="33"/>
        <v>::,</v>
      </c>
      <c r="DC63" s="185" t="str">
        <f t="shared" si="34"/>
        <v>::,</v>
      </c>
      <c r="DD63" s="186" t="str">
        <f t="shared" si="35"/>
        <v>0:0:0,0</v>
      </c>
      <c r="DE63" s="183"/>
      <c r="DF63" s="184" t="str">
        <f t="shared" si="36"/>
        <v>0:0:0,0</v>
      </c>
      <c r="DG63" s="185" t="str">
        <f t="shared" si="37"/>
        <v>0:0:0,0</v>
      </c>
      <c r="DH63" s="186" t="str">
        <f t="shared" si="38"/>
        <v>0:0:0,0</v>
      </c>
      <c r="DI63" s="183"/>
      <c r="DJ63" s="187" t="str">
        <f t="shared" si="39"/>
        <v>0:0:0,0</v>
      </c>
    </row>
    <row r="64" spans="2:114">
      <c r="B64" s="274">
        <f>IF(ISBLANK($E65),"",VLOOKUP($E65,Teilnehmer!$B$4:$K$199,2,0))</f>
        <v>1</v>
      </c>
      <c r="C64" s="190">
        <f>IF(ISBLANK($E65),"",VLOOKUP($E65,Teilnehmer!$B$4:$K$199,3,0))</f>
        <v>5</v>
      </c>
      <c r="D64" s="181" t="str">
        <f>IF(ISBLANK($E64),"",VLOOKUP($E64,Teilnehmer!$B$4:$K$199,4,0))</f>
        <v>Scheidhammer Alois</v>
      </c>
      <c r="E64" s="182">
        <v>54</v>
      </c>
      <c r="F64" s="257">
        <v>11</v>
      </c>
      <c r="G64" s="255">
        <v>52</v>
      </c>
      <c r="H64" s="255">
        <v>15</v>
      </c>
      <c r="I64" s="258">
        <v>47</v>
      </c>
      <c r="J64" s="257">
        <v>11</v>
      </c>
      <c r="K64" s="255">
        <v>57</v>
      </c>
      <c r="L64" s="255">
        <v>44</v>
      </c>
      <c r="M64" s="258">
        <v>13</v>
      </c>
      <c r="N64" s="257">
        <v>0</v>
      </c>
      <c r="O64" s="255">
        <v>0</v>
      </c>
      <c r="P64" s="255">
        <v>0</v>
      </c>
      <c r="Q64" s="258">
        <v>0</v>
      </c>
      <c r="R64" s="183"/>
      <c r="S64" s="254">
        <v>12</v>
      </c>
      <c r="T64" s="255">
        <v>50</v>
      </c>
      <c r="U64" s="255">
        <v>58</v>
      </c>
      <c r="V64" s="258">
        <v>36</v>
      </c>
      <c r="W64" s="257">
        <v>12</v>
      </c>
      <c r="X64" s="255">
        <v>57</v>
      </c>
      <c r="Y64" s="255">
        <v>6</v>
      </c>
      <c r="Z64" s="256">
        <v>71</v>
      </c>
      <c r="AA64" s="257">
        <v>0</v>
      </c>
      <c r="AB64" s="255">
        <v>0</v>
      </c>
      <c r="AC64" s="255">
        <v>0</v>
      </c>
      <c r="AD64" s="258">
        <v>0</v>
      </c>
      <c r="AE64" s="183"/>
      <c r="AF64" s="254">
        <v>14</v>
      </c>
      <c r="AG64" s="255">
        <v>4</v>
      </c>
      <c r="AH64" s="255">
        <v>11</v>
      </c>
      <c r="AI64" s="256">
        <v>93</v>
      </c>
      <c r="AJ64" s="257">
        <v>14</v>
      </c>
      <c r="AK64" s="255">
        <v>9</v>
      </c>
      <c r="AL64" s="255">
        <v>39</v>
      </c>
      <c r="AM64" s="256">
        <v>95</v>
      </c>
      <c r="AN64" s="257">
        <v>0</v>
      </c>
      <c r="AO64" s="255">
        <v>0</v>
      </c>
      <c r="AP64" s="255">
        <v>0</v>
      </c>
      <c r="AQ64" s="258">
        <v>0</v>
      </c>
      <c r="AR64" s="183"/>
      <c r="AS64" s="254">
        <v>15</v>
      </c>
      <c r="AT64" s="255">
        <v>26</v>
      </c>
      <c r="AU64" s="255">
        <v>14</v>
      </c>
      <c r="AV64" s="256">
        <v>31</v>
      </c>
      <c r="AW64" s="257">
        <v>15</v>
      </c>
      <c r="AX64" s="255">
        <v>32</v>
      </c>
      <c r="AY64" s="255">
        <v>19</v>
      </c>
      <c r="AZ64" s="256">
        <v>76</v>
      </c>
      <c r="BA64" s="257">
        <v>0</v>
      </c>
      <c r="BB64" s="255">
        <v>0</v>
      </c>
      <c r="BC64" s="255">
        <v>0</v>
      </c>
      <c r="BD64" s="258">
        <v>0</v>
      </c>
      <c r="BE64" s="183"/>
      <c r="BF64" s="254">
        <v>15</v>
      </c>
      <c r="BG64" s="255">
        <v>59</v>
      </c>
      <c r="BH64" s="255">
        <v>32</v>
      </c>
      <c r="BI64" s="256">
        <v>9</v>
      </c>
      <c r="BJ64" s="257">
        <v>16</v>
      </c>
      <c r="BK64" s="255">
        <v>4</v>
      </c>
      <c r="BL64" s="255">
        <v>55</v>
      </c>
      <c r="BM64" s="256">
        <v>60</v>
      </c>
      <c r="BN64" s="257">
        <v>0</v>
      </c>
      <c r="BO64" s="255">
        <v>0</v>
      </c>
      <c r="BP64" s="255">
        <v>0</v>
      </c>
      <c r="BQ64" s="258">
        <v>0</v>
      </c>
      <c r="BR64" s="183"/>
      <c r="BS64" s="254">
        <v>0</v>
      </c>
      <c r="BT64" s="255">
        <v>0</v>
      </c>
      <c r="BU64" s="255">
        <v>0</v>
      </c>
      <c r="BV64" s="256">
        <v>0</v>
      </c>
      <c r="BW64" s="257">
        <v>0</v>
      </c>
      <c r="BX64" s="255">
        <v>0</v>
      </c>
      <c r="BY64" s="255">
        <v>0</v>
      </c>
      <c r="BZ64" s="256">
        <v>0</v>
      </c>
      <c r="CA64" s="257">
        <v>0</v>
      </c>
      <c r="CB64" s="255">
        <v>0</v>
      </c>
      <c r="CC64" s="255">
        <v>0</v>
      </c>
      <c r="CD64" s="258">
        <v>0</v>
      </c>
      <c r="CE64" s="183"/>
      <c r="CF64" s="254">
        <v>0</v>
      </c>
      <c r="CG64" s="255">
        <v>0</v>
      </c>
      <c r="CH64" s="255">
        <v>0</v>
      </c>
      <c r="CI64" s="258">
        <v>0</v>
      </c>
      <c r="CJ64" s="183"/>
      <c r="CK64" s="182">
        <v>54</v>
      </c>
      <c r="CL64" s="184" t="str">
        <f t="shared" si="6"/>
        <v>11:52:15,47</v>
      </c>
      <c r="CM64" s="185" t="str">
        <f t="shared" si="7"/>
        <v>11:57:44,13</v>
      </c>
      <c r="CN64" s="186" t="str">
        <f>IF(ISBLANK($E65),"",N64&amp;":"&amp;O64&amp;":"&amp;P64&amp;","&amp;Q64)</f>
        <v>0:0:0,0</v>
      </c>
      <c r="CO64" s="183"/>
      <c r="CP64" s="184" t="str">
        <f t="shared" si="24"/>
        <v>12:50:58,36</v>
      </c>
      <c r="CQ64" s="185" t="str">
        <f t="shared" si="25"/>
        <v>12:57:6,71</v>
      </c>
      <c r="CR64" s="186" t="str">
        <f t="shared" si="26"/>
        <v>0:0:0,0</v>
      </c>
      <c r="CS64" s="183"/>
      <c r="CT64" s="184" t="str">
        <f t="shared" si="27"/>
        <v>14:4:11,93</v>
      </c>
      <c r="CU64" s="185" t="str">
        <f t="shared" si="28"/>
        <v>14:9:39,95</v>
      </c>
      <c r="CV64" s="186" t="str">
        <f t="shared" si="29"/>
        <v>0:0:0,0</v>
      </c>
      <c r="CW64" s="183"/>
      <c r="CX64" s="184" t="str">
        <f t="shared" si="30"/>
        <v>15:26:14,31</v>
      </c>
      <c r="CY64" s="185" t="str">
        <f t="shared" si="31"/>
        <v>15:32:19,76</v>
      </c>
      <c r="CZ64" s="186" t="str">
        <f t="shared" si="32"/>
        <v>0:0:0,0</v>
      </c>
      <c r="DA64" s="183"/>
      <c r="DB64" s="184" t="str">
        <f t="shared" si="33"/>
        <v>15:59:32,9</v>
      </c>
      <c r="DC64" s="185" t="str">
        <f t="shared" si="34"/>
        <v>16:4:55,60</v>
      </c>
      <c r="DD64" s="186" t="str">
        <f t="shared" si="35"/>
        <v>0:0:0,0</v>
      </c>
      <c r="DE64" s="183"/>
      <c r="DF64" s="184" t="str">
        <f t="shared" si="36"/>
        <v>0:0:0,0</v>
      </c>
      <c r="DG64" s="185" t="str">
        <f t="shared" si="37"/>
        <v>0:0:0,0</v>
      </c>
      <c r="DH64" s="186" t="str">
        <f t="shared" si="38"/>
        <v>0:0:0,0</v>
      </c>
      <c r="DI64" s="183"/>
      <c r="DJ64" s="187" t="str">
        <f t="shared" si="39"/>
        <v>0:0:0,0</v>
      </c>
    </row>
    <row r="65" spans="2:114">
      <c r="B65" s="274">
        <f>IF(ISBLANK($E66),"",VLOOKUP($E66,Teilnehmer!$B$4:$K$199,2,0))</f>
        <v>1</v>
      </c>
      <c r="C65" s="190">
        <f>IF(ISBLANK($E66),"",VLOOKUP($E66,Teilnehmer!$B$4:$K$199,3,0))</f>
        <v>5</v>
      </c>
      <c r="D65" s="181" t="str">
        <f>IF(ISBLANK($E65),"",VLOOKUP($E65,Teilnehmer!$B$4:$K$199,4,0))</f>
        <v>Biendl Willibald</v>
      </c>
      <c r="E65" s="182">
        <v>55</v>
      </c>
      <c r="F65" s="257">
        <v>11</v>
      </c>
      <c r="G65" s="255">
        <v>53</v>
      </c>
      <c r="H65" s="255">
        <v>11</v>
      </c>
      <c r="I65" s="258">
        <v>12</v>
      </c>
      <c r="J65" s="257">
        <v>11</v>
      </c>
      <c r="K65" s="255">
        <v>58</v>
      </c>
      <c r="L65" s="255">
        <v>44</v>
      </c>
      <c r="M65" s="258">
        <v>11</v>
      </c>
      <c r="N65" s="257">
        <v>0</v>
      </c>
      <c r="O65" s="255">
        <v>0</v>
      </c>
      <c r="P65" s="255">
        <v>0</v>
      </c>
      <c r="Q65" s="258">
        <v>0</v>
      </c>
      <c r="R65" s="183"/>
      <c r="S65" s="254">
        <v>12</v>
      </c>
      <c r="T65" s="255">
        <v>51</v>
      </c>
      <c r="U65" s="255">
        <v>14</v>
      </c>
      <c r="V65" s="258">
        <v>90</v>
      </c>
      <c r="W65" s="257">
        <v>12</v>
      </c>
      <c r="X65" s="255">
        <v>57</v>
      </c>
      <c r="Y65" s="255">
        <v>37</v>
      </c>
      <c r="Z65" s="256">
        <v>95</v>
      </c>
      <c r="AA65" s="257">
        <v>0</v>
      </c>
      <c r="AB65" s="255">
        <v>0</v>
      </c>
      <c r="AC65" s="255">
        <v>0</v>
      </c>
      <c r="AD65" s="258">
        <v>0</v>
      </c>
      <c r="AE65" s="183"/>
      <c r="AF65" s="254">
        <v>14</v>
      </c>
      <c r="AG65" s="255">
        <v>5</v>
      </c>
      <c r="AH65" s="255">
        <v>13</v>
      </c>
      <c r="AI65" s="256">
        <v>29</v>
      </c>
      <c r="AJ65" s="257">
        <v>14</v>
      </c>
      <c r="AK65" s="255">
        <v>10</v>
      </c>
      <c r="AL65" s="255">
        <v>41</v>
      </c>
      <c r="AM65" s="256">
        <v>40</v>
      </c>
      <c r="AN65" s="257">
        <v>0</v>
      </c>
      <c r="AO65" s="255">
        <v>0</v>
      </c>
      <c r="AP65" s="255">
        <v>0</v>
      </c>
      <c r="AQ65" s="258">
        <v>0</v>
      </c>
      <c r="AR65" s="183"/>
      <c r="AS65" s="254">
        <v>15</v>
      </c>
      <c r="AT65" s="255">
        <v>26</v>
      </c>
      <c r="AU65" s="255">
        <v>34</v>
      </c>
      <c r="AV65" s="256">
        <v>76</v>
      </c>
      <c r="AW65" s="257">
        <v>15</v>
      </c>
      <c r="AX65" s="255">
        <v>32</v>
      </c>
      <c r="AY65" s="255">
        <v>41</v>
      </c>
      <c r="AZ65" s="256">
        <v>44</v>
      </c>
      <c r="BA65" s="257">
        <v>0</v>
      </c>
      <c r="BB65" s="255">
        <v>0</v>
      </c>
      <c r="BC65" s="255">
        <v>0</v>
      </c>
      <c r="BD65" s="258">
        <v>0</v>
      </c>
      <c r="BE65" s="183"/>
      <c r="BF65" s="254">
        <v>16</v>
      </c>
      <c r="BG65" s="255">
        <v>0</v>
      </c>
      <c r="BH65" s="255">
        <v>8</v>
      </c>
      <c r="BI65" s="256">
        <v>29</v>
      </c>
      <c r="BJ65" s="257">
        <v>16</v>
      </c>
      <c r="BK65" s="255">
        <v>5</v>
      </c>
      <c r="BL65" s="255">
        <v>31</v>
      </c>
      <c r="BM65" s="256">
        <v>29</v>
      </c>
      <c r="BN65" s="257">
        <v>0</v>
      </c>
      <c r="BO65" s="255">
        <v>0</v>
      </c>
      <c r="BP65" s="255">
        <v>0</v>
      </c>
      <c r="BQ65" s="258">
        <v>0</v>
      </c>
      <c r="BR65" s="183"/>
      <c r="BS65" s="254">
        <v>0</v>
      </c>
      <c r="BT65" s="255">
        <v>0</v>
      </c>
      <c r="BU65" s="255">
        <v>0</v>
      </c>
      <c r="BV65" s="256">
        <v>0</v>
      </c>
      <c r="BW65" s="257">
        <v>0</v>
      </c>
      <c r="BX65" s="255">
        <v>0</v>
      </c>
      <c r="BY65" s="255">
        <v>0</v>
      </c>
      <c r="BZ65" s="256">
        <v>0</v>
      </c>
      <c r="CA65" s="257">
        <v>0</v>
      </c>
      <c r="CB65" s="255">
        <v>0</v>
      </c>
      <c r="CC65" s="255">
        <v>0</v>
      </c>
      <c r="CD65" s="258">
        <v>0</v>
      </c>
      <c r="CE65" s="183"/>
      <c r="CF65" s="254">
        <v>0</v>
      </c>
      <c r="CG65" s="255">
        <v>0</v>
      </c>
      <c r="CH65" s="255">
        <v>0</v>
      </c>
      <c r="CI65" s="258">
        <v>0</v>
      </c>
      <c r="CJ65" s="183"/>
      <c r="CK65" s="182">
        <v>55</v>
      </c>
      <c r="CL65" s="184" t="str">
        <f t="shared" si="6"/>
        <v>11:53:11,12</v>
      </c>
      <c r="CM65" s="185" t="str">
        <f t="shared" si="7"/>
        <v>11:58:44,11</v>
      </c>
      <c r="CN65" s="186" t="str">
        <f>IF(ISBLANK($E66),"",N65&amp;":"&amp;O65&amp;":"&amp;P65&amp;","&amp;Q65)</f>
        <v>0:0:0,0</v>
      </c>
      <c r="CO65" s="183"/>
      <c r="CP65" s="184" t="str">
        <f t="shared" si="24"/>
        <v>12:51:14,90</v>
      </c>
      <c r="CQ65" s="185" t="str">
        <f t="shared" si="25"/>
        <v>12:57:37,95</v>
      </c>
      <c r="CR65" s="186" t="str">
        <f t="shared" si="26"/>
        <v>0:0:0,0</v>
      </c>
      <c r="CS65" s="183"/>
      <c r="CT65" s="184" t="str">
        <f t="shared" si="27"/>
        <v>14:5:13,29</v>
      </c>
      <c r="CU65" s="185" t="str">
        <f t="shared" si="28"/>
        <v>14:10:41,40</v>
      </c>
      <c r="CV65" s="186" t="str">
        <f t="shared" si="29"/>
        <v>0:0:0,0</v>
      </c>
      <c r="CW65" s="183"/>
      <c r="CX65" s="184" t="str">
        <f t="shared" si="30"/>
        <v>15:26:34,76</v>
      </c>
      <c r="CY65" s="185" t="str">
        <f t="shared" si="31"/>
        <v>15:32:41,44</v>
      </c>
      <c r="CZ65" s="186" t="str">
        <f t="shared" si="32"/>
        <v>0:0:0,0</v>
      </c>
      <c r="DA65" s="183"/>
      <c r="DB65" s="184" t="str">
        <f t="shared" si="33"/>
        <v>16:0:8,29</v>
      </c>
      <c r="DC65" s="185" t="str">
        <f t="shared" si="34"/>
        <v>16:5:31,29</v>
      </c>
      <c r="DD65" s="186" t="str">
        <f t="shared" si="35"/>
        <v>0:0:0,0</v>
      </c>
      <c r="DE65" s="183"/>
      <c r="DF65" s="184" t="str">
        <f t="shared" si="36"/>
        <v>0:0:0,0</v>
      </c>
      <c r="DG65" s="185" t="str">
        <f t="shared" si="37"/>
        <v>0:0:0,0</v>
      </c>
      <c r="DH65" s="186" t="str">
        <f t="shared" si="38"/>
        <v>0:0:0,0</v>
      </c>
      <c r="DI65" s="183"/>
      <c r="DJ65" s="187" t="str">
        <f t="shared" si="39"/>
        <v>0:0:0,0</v>
      </c>
    </row>
    <row r="66" spans="2:114">
      <c r="B66" s="274">
        <f>IF(ISBLANK($E67),"",VLOOKUP($E67,Teilnehmer!$B$4:$K$199,2,0))</f>
        <v>1</v>
      </c>
      <c r="C66" s="190">
        <f>IF(ISBLANK($E67),"",VLOOKUP($E67,Teilnehmer!$B$4:$K$199,3,0))</f>
        <v>5</v>
      </c>
      <c r="D66" s="181" t="str">
        <f>IF(ISBLANK($E66),"",VLOOKUP($E66,Teilnehmer!$B$4:$K$199,4,0))</f>
        <v>Knese Fabian</v>
      </c>
      <c r="E66" s="182">
        <v>56</v>
      </c>
      <c r="F66" s="257">
        <v>11</v>
      </c>
      <c r="G66" s="255">
        <v>54</v>
      </c>
      <c r="H66" s="255">
        <v>2</v>
      </c>
      <c r="I66" s="258">
        <v>24</v>
      </c>
      <c r="J66" s="257">
        <v>11</v>
      </c>
      <c r="K66" s="255">
        <v>59</v>
      </c>
      <c r="L66" s="255">
        <v>43</v>
      </c>
      <c r="M66" s="258">
        <v>89</v>
      </c>
      <c r="N66" s="257">
        <v>0</v>
      </c>
      <c r="O66" s="255">
        <v>0</v>
      </c>
      <c r="P66" s="255">
        <v>0</v>
      </c>
      <c r="Q66" s="258">
        <v>0</v>
      </c>
      <c r="R66" s="183"/>
      <c r="S66" s="306">
        <v>12</v>
      </c>
      <c r="T66" s="307">
        <v>51</v>
      </c>
      <c r="U66" s="307">
        <v>36</v>
      </c>
      <c r="V66" s="308">
        <v>52</v>
      </c>
      <c r="W66" s="309">
        <v>12</v>
      </c>
      <c r="X66" s="307">
        <v>58</v>
      </c>
      <c r="Y66" s="307">
        <v>51</v>
      </c>
      <c r="Z66" s="310">
        <v>5</v>
      </c>
      <c r="AA66" s="257">
        <v>0</v>
      </c>
      <c r="AB66" s="255">
        <v>0</v>
      </c>
      <c r="AC66" s="255">
        <v>0</v>
      </c>
      <c r="AD66" s="258">
        <v>0</v>
      </c>
      <c r="AE66" s="183"/>
      <c r="AF66" s="254">
        <v>14</v>
      </c>
      <c r="AG66" s="255">
        <v>6</v>
      </c>
      <c r="AH66" s="255">
        <v>29</v>
      </c>
      <c r="AI66" s="256">
        <v>73</v>
      </c>
      <c r="AJ66" s="257">
        <v>14</v>
      </c>
      <c r="AK66" s="255">
        <v>12</v>
      </c>
      <c r="AL66" s="255">
        <v>8</v>
      </c>
      <c r="AM66" s="256">
        <v>34</v>
      </c>
      <c r="AN66" s="257">
        <v>0</v>
      </c>
      <c r="AO66" s="255">
        <v>0</v>
      </c>
      <c r="AP66" s="255">
        <v>0</v>
      </c>
      <c r="AQ66" s="258">
        <v>0</v>
      </c>
      <c r="AR66" s="183"/>
      <c r="AS66" s="254">
        <v>15</v>
      </c>
      <c r="AT66" s="255">
        <v>30</v>
      </c>
      <c r="AU66" s="255">
        <v>39</v>
      </c>
      <c r="AV66" s="256">
        <v>42</v>
      </c>
      <c r="AW66" s="257">
        <v>15</v>
      </c>
      <c r="AX66" s="255">
        <v>37</v>
      </c>
      <c r="AY66" s="255">
        <v>19</v>
      </c>
      <c r="AZ66" s="256">
        <v>87</v>
      </c>
      <c r="BA66" s="257">
        <v>0</v>
      </c>
      <c r="BB66" s="255">
        <v>0</v>
      </c>
      <c r="BC66" s="255">
        <v>0</v>
      </c>
      <c r="BD66" s="258">
        <v>0</v>
      </c>
      <c r="BE66" s="183"/>
      <c r="BF66" s="254">
        <v>16</v>
      </c>
      <c r="BG66" s="255">
        <v>2</v>
      </c>
      <c r="BH66" s="255">
        <v>29</v>
      </c>
      <c r="BI66" s="256">
        <v>61</v>
      </c>
      <c r="BJ66" s="257">
        <v>16</v>
      </c>
      <c r="BK66" s="255">
        <v>8</v>
      </c>
      <c r="BL66" s="255">
        <v>7</v>
      </c>
      <c r="BM66" s="256">
        <v>56</v>
      </c>
      <c r="BN66" s="257">
        <v>0</v>
      </c>
      <c r="BO66" s="255">
        <v>0</v>
      </c>
      <c r="BP66" s="255">
        <v>0</v>
      </c>
      <c r="BQ66" s="258">
        <v>0</v>
      </c>
      <c r="BR66" s="183"/>
      <c r="BS66" s="254">
        <v>0</v>
      </c>
      <c r="BT66" s="255">
        <v>0</v>
      </c>
      <c r="BU66" s="255">
        <v>0</v>
      </c>
      <c r="BV66" s="256">
        <v>0</v>
      </c>
      <c r="BW66" s="257">
        <v>0</v>
      </c>
      <c r="BX66" s="255">
        <v>0</v>
      </c>
      <c r="BY66" s="255">
        <v>0</v>
      </c>
      <c r="BZ66" s="256">
        <v>0</v>
      </c>
      <c r="CA66" s="257">
        <v>0</v>
      </c>
      <c r="CB66" s="255">
        <v>0</v>
      </c>
      <c r="CC66" s="255">
        <v>0</v>
      </c>
      <c r="CD66" s="258">
        <v>0</v>
      </c>
      <c r="CE66" s="183"/>
      <c r="CF66" s="254">
        <v>0</v>
      </c>
      <c r="CG66" s="255">
        <v>0</v>
      </c>
      <c r="CH66" s="255">
        <v>0</v>
      </c>
      <c r="CI66" s="258">
        <v>0</v>
      </c>
      <c r="CJ66" s="183"/>
      <c r="CK66" s="182">
        <v>56</v>
      </c>
      <c r="CL66" s="184" t="str">
        <f t="shared" si="6"/>
        <v>11:54:2,24</v>
      </c>
      <c r="CM66" s="185" t="str">
        <f t="shared" si="7"/>
        <v>11:59:43,89</v>
      </c>
      <c r="CN66" s="186" t="str">
        <f>IF(ISBLANK($E67),"",N66&amp;":"&amp;O66&amp;":"&amp;P66&amp;","&amp;Q66)</f>
        <v>0:0:0,0</v>
      </c>
      <c r="CO66" s="183"/>
      <c r="CP66" s="184" t="str">
        <f t="shared" si="24"/>
        <v>12:51:36,52</v>
      </c>
      <c r="CQ66" s="185" t="str">
        <f t="shared" si="25"/>
        <v>12:58:51,5</v>
      </c>
      <c r="CR66" s="186" t="str">
        <f t="shared" si="26"/>
        <v>0:0:0,0</v>
      </c>
      <c r="CS66" s="183"/>
      <c r="CT66" s="184" t="str">
        <f t="shared" si="27"/>
        <v>14:6:29,73</v>
      </c>
      <c r="CU66" s="185" t="str">
        <f t="shared" si="28"/>
        <v>14:12:8,34</v>
      </c>
      <c r="CV66" s="186" t="str">
        <f t="shared" si="29"/>
        <v>0:0:0,0</v>
      </c>
      <c r="CW66" s="183"/>
      <c r="CX66" s="184" t="str">
        <f t="shared" si="30"/>
        <v>15:30:39,42</v>
      </c>
      <c r="CY66" s="185" t="str">
        <f t="shared" si="31"/>
        <v>15:37:19,87</v>
      </c>
      <c r="CZ66" s="186" t="str">
        <f t="shared" si="32"/>
        <v>0:0:0,0</v>
      </c>
      <c r="DA66" s="183"/>
      <c r="DB66" s="184" t="str">
        <f t="shared" si="33"/>
        <v>16:2:29,61</v>
      </c>
      <c r="DC66" s="185" t="str">
        <f t="shared" si="34"/>
        <v>16:8:7,56</v>
      </c>
      <c r="DD66" s="186" t="str">
        <f t="shared" si="35"/>
        <v>0:0:0,0</v>
      </c>
      <c r="DE66" s="183"/>
      <c r="DF66" s="184" t="str">
        <f t="shared" si="36"/>
        <v>0:0:0,0</v>
      </c>
      <c r="DG66" s="185" t="str">
        <f t="shared" si="37"/>
        <v>0:0:0,0</v>
      </c>
      <c r="DH66" s="186" t="str">
        <f t="shared" si="38"/>
        <v>0:0:0,0</v>
      </c>
      <c r="DI66" s="183"/>
      <c r="DJ66" s="187" t="str">
        <f t="shared" si="39"/>
        <v>0:0:0,0</v>
      </c>
    </row>
    <row r="67" spans="2:114">
      <c r="B67" s="274">
        <f>IF(ISBLANK($E68),"",VLOOKUP($E68,Teilnehmer!$B$4:$K$199,2,0))</f>
        <v>1</v>
      </c>
      <c r="C67" s="190">
        <f>IF(ISBLANK($E68),"",VLOOKUP($E68,Teilnehmer!$B$4:$K$199,3,0))</f>
        <v>5</v>
      </c>
      <c r="D67" s="181" t="str">
        <f>IF(ISBLANK($E67),"",VLOOKUP($E67,Teilnehmer!$B$4:$K$199,4,0))</f>
        <v>Humburg Korbinian</v>
      </c>
      <c r="E67" s="182">
        <v>57</v>
      </c>
      <c r="F67" s="257">
        <v>11</v>
      </c>
      <c r="G67" s="255">
        <v>56</v>
      </c>
      <c r="H67" s="255">
        <v>40</v>
      </c>
      <c r="I67" s="258">
        <v>88</v>
      </c>
      <c r="J67" s="257">
        <v>12</v>
      </c>
      <c r="K67" s="255">
        <v>2</v>
      </c>
      <c r="L67" s="255">
        <v>18</v>
      </c>
      <c r="M67" s="258">
        <v>30</v>
      </c>
      <c r="N67" s="257">
        <v>0</v>
      </c>
      <c r="O67" s="255">
        <v>0</v>
      </c>
      <c r="P67" s="255">
        <v>0</v>
      </c>
      <c r="Q67" s="258">
        <v>0</v>
      </c>
      <c r="R67" s="183"/>
      <c r="S67" s="306">
        <v>12</v>
      </c>
      <c r="T67" s="307">
        <v>56</v>
      </c>
      <c r="U67" s="307">
        <v>44</v>
      </c>
      <c r="V67" s="308">
        <v>27</v>
      </c>
      <c r="W67" s="218"/>
      <c r="X67" s="218"/>
      <c r="Y67" s="218"/>
      <c r="Z67" s="218"/>
      <c r="AA67" s="257">
        <v>0</v>
      </c>
      <c r="AB67" s="255">
        <v>0</v>
      </c>
      <c r="AC67" s="255">
        <v>0</v>
      </c>
      <c r="AD67" s="258">
        <v>0</v>
      </c>
      <c r="AE67" s="183"/>
      <c r="AF67" s="218"/>
      <c r="AG67" s="218"/>
      <c r="AH67" s="218"/>
      <c r="AI67" s="218"/>
      <c r="AJ67" s="218"/>
      <c r="AK67" s="218"/>
      <c r="AL67" s="218"/>
      <c r="AM67" s="218"/>
      <c r="AN67" s="257">
        <v>0</v>
      </c>
      <c r="AO67" s="255">
        <v>0</v>
      </c>
      <c r="AP67" s="255">
        <v>0</v>
      </c>
      <c r="AQ67" s="258">
        <v>0</v>
      </c>
      <c r="AR67" s="183"/>
      <c r="AS67" s="218"/>
      <c r="AT67" s="218"/>
      <c r="AU67" s="218"/>
      <c r="AV67" s="218"/>
      <c r="AW67" s="218"/>
      <c r="AX67" s="218"/>
      <c r="AY67" s="218"/>
      <c r="AZ67" s="218"/>
      <c r="BA67" s="257">
        <v>0</v>
      </c>
      <c r="BB67" s="255">
        <v>0</v>
      </c>
      <c r="BC67" s="255">
        <v>0</v>
      </c>
      <c r="BD67" s="258">
        <v>0</v>
      </c>
      <c r="BE67" s="183"/>
      <c r="BF67" s="218"/>
      <c r="BG67" s="218"/>
      <c r="BH67" s="218"/>
      <c r="BI67" s="218"/>
      <c r="BJ67" s="218"/>
      <c r="BK67" s="218"/>
      <c r="BL67" s="218"/>
      <c r="BM67" s="218"/>
      <c r="BN67" s="257">
        <v>0</v>
      </c>
      <c r="BO67" s="255">
        <v>0</v>
      </c>
      <c r="BP67" s="255">
        <v>0</v>
      </c>
      <c r="BQ67" s="258">
        <v>0</v>
      </c>
      <c r="BR67" s="183"/>
      <c r="BS67" s="254">
        <v>0</v>
      </c>
      <c r="BT67" s="255">
        <v>0</v>
      </c>
      <c r="BU67" s="255">
        <v>0</v>
      </c>
      <c r="BV67" s="256">
        <v>0</v>
      </c>
      <c r="BW67" s="257">
        <v>0</v>
      </c>
      <c r="BX67" s="255">
        <v>0</v>
      </c>
      <c r="BY67" s="255">
        <v>0</v>
      </c>
      <c r="BZ67" s="256">
        <v>0</v>
      </c>
      <c r="CA67" s="257">
        <v>0</v>
      </c>
      <c r="CB67" s="255">
        <v>0</v>
      </c>
      <c r="CC67" s="255">
        <v>0</v>
      </c>
      <c r="CD67" s="258">
        <v>0</v>
      </c>
      <c r="CE67" s="183"/>
      <c r="CF67" s="254">
        <v>0</v>
      </c>
      <c r="CG67" s="255">
        <v>0</v>
      </c>
      <c r="CH67" s="255">
        <v>0</v>
      </c>
      <c r="CI67" s="258">
        <v>0</v>
      </c>
      <c r="CJ67" s="183"/>
      <c r="CK67" s="182">
        <v>57</v>
      </c>
      <c r="CL67" s="184" t="str">
        <f t="shared" si="6"/>
        <v>11:56:40,88</v>
      </c>
      <c r="CM67" s="185" t="str">
        <f t="shared" si="7"/>
        <v>12:2:18,30</v>
      </c>
      <c r="CN67" s="186" t="str">
        <f>IF(ISBLANK($E68),"",N67&amp;":"&amp;O67&amp;":"&amp;P67&amp;","&amp;Q67)</f>
        <v>0:0:0,0</v>
      </c>
      <c r="CO67" s="183"/>
      <c r="CP67" s="184" t="str">
        <f t="shared" si="24"/>
        <v>12:56:44,27</v>
      </c>
      <c r="CQ67" s="185" t="str">
        <f t="shared" si="25"/>
        <v>::,</v>
      </c>
      <c r="CR67" s="186" t="str">
        <f t="shared" si="26"/>
        <v>0:0:0,0</v>
      </c>
      <c r="CS67" s="183"/>
      <c r="CT67" s="184" t="str">
        <f t="shared" si="27"/>
        <v>::,</v>
      </c>
      <c r="CU67" s="185" t="str">
        <f t="shared" si="28"/>
        <v>::,</v>
      </c>
      <c r="CV67" s="186" t="str">
        <f t="shared" si="29"/>
        <v>0:0:0,0</v>
      </c>
      <c r="CW67" s="183"/>
      <c r="CX67" s="184" t="str">
        <f t="shared" si="30"/>
        <v>::,</v>
      </c>
      <c r="CY67" s="185" t="str">
        <f t="shared" si="31"/>
        <v>::,</v>
      </c>
      <c r="CZ67" s="186" t="str">
        <f t="shared" si="32"/>
        <v>0:0:0,0</v>
      </c>
      <c r="DA67" s="183"/>
      <c r="DB67" s="184" t="str">
        <f t="shared" si="33"/>
        <v>::,</v>
      </c>
      <c r="DC67" s="185" t="str">
        <f t="shared" si="34"/>
        <v>::,</v>
      </c>
      <c r="DD67" s="186" t="str">
        <f t="shared" si="35"/>
        <v>0:0:0,0</v>
      </c>
      <c r="DE67" s="183"/>
      <c r="DF67" s="184" t="str">
        <f t="shared" si="36"/>
        <v>0:0:0,0</v>
      </c>
      <c r="DG67" s="185" t="str">
        <f t="shared" si="37"/>
        <v>0:0:0,0</v>
      </c>
      <c r="DH67" s="186" t="str">
        <f t="shared" si="38"/>
        <v>0:0:0,0</v>
      </c>
      <c r="DI67" s="183"/>
      <c r="DJ67" s="187" t="str">
        <f t="shared" si="39"/>
        <v>0:0:0,0</v>
      </c>
    </row>
    <row r="68" spans="2:114">
      <c r="B68" s="274">
        <f>IF(ISBLANK($E69),"",VLOOKUP($E69,Teilnehmer!$B$4:$K$199,2,0))</f>
        <v>1</v>
      </c>
      <c r="C68" s="190">
        <f>IF(ISBLANK($E69),"",VLOOKUP($E69,Teilnehmer!$B$4:$K$199,3,0))</f>
        <v>5</v>
      </c>
      <c r="D68" s="181" t="str">
        <f>IF(ISBLANK($E68),"",VLOOKUP($E68,Teilnehmer!$B$4:$K$199,4,0))</f>
        <v>Kühnlein Matthias</v>
      </c>
      <c r="E68" s="182">
        <v>58</v>
      </c>
      <c r="F68" s="257">
        <v>11</v>
      </c>
      <c r="G68" s="255">
        <v>54</v>
      </c>
      <c r="H68" s="255">
        <v>34</v>
      </c>
      <c r="I68" s="258">
        <v>77</v>
      </c>
      <c r="J68" s="257">
        <v>12</v>
      </c>
      <c r="K68" s="255">
        <v>1</v>
      </c>
      <c r="L68" s="255">
        <v>2</v>
      </c>
      <c r="M68" s="258">
        <v>98</v>
      </c>
      <c r="N68" s="257">
        <v>0</v>
      </c>
      <c r="O68" s="255">
        <v>0</v>
      </c>
      <c r="P68" s="255">
        <v>0</v>
      </c>
      <c r="Q68" s="258">
        <v>0</v>
      </c>
      <c r="R68" s="183"/>
      <c r="S68" s="306">
        <v>12</v>
      </c>
      <c r="T68" s="307">
        <v>51</v>
      </c>
      <c r="U68" s="307">
        <v>53</v>
      </c>
      <c r="V68" s="308">
        <v>14</v>
      </c>
      <c r="W68" s="309">
        <v>12</v>
      </c>
      <c r="X68" s="307">
        <v>58</v>
      </c>
      <c r="Y68" s="307">
        <v>48</v>
      </c>
      <c r="Z68" s="310">
        <v>96</v>
      </c>
      <c r="AA68" s="257">
        <v>0</v>
      </c>
      <c r="AB68" s="255">
        <v>0</v>
      </c>
      <c r="AC68" s="255">
        <v>0</v>
      </c>
      <c r="AD68" s="258">
        <v>0</v>
      </c>
      <c r="AE68" s="183"/>
      <c r="AF68" s="254">
        <v>14</v>
      </c>
      <c r="AG68" s="255">
        <v>7</v>
      </c>
      <c r="AH68" s="255">
        <v>32</v>
      </c>
      <c r="AI68" s="256">
        <v>79</v>
      </c>
      <c r="AJ68" s="257">
        <v>14</v>
      </c>
      <c r="AK68" s="255">
        <v>13</v>
      </c>
      <c r="AL68" s="255">
        <v>52</v>
      </c>
      <c r="AM68" s="256">
        <v>13</v>
      </c>
      <c r="AN68" s="257">
        <v>0</v>
      </c>
      <c r="AO68" s="255">
        <v>0</v>
      </c>
      <c r="AP68" s="255">
        <v>0</v>
      </c>
      <c r="AQ68" s="258">
        <v>0</v>
      </c>
      <c r="AR68" s="183"/>
      <c r="AS68" s="254">
        <v>15</v>
      </c>
      <c r="AT68" s="255">
        <v>30</v>
      </c>
      <c r="AU68" s="255">
        <v>57</v>
      </c>
      <c r="AV68" s="256">
        <v>18</v>
      </c>
      <c r="AW68" s="257">
        <v>15</v>
      </c>
      <c r="AX68" s="255">
        <v>37</v>
      </c>
      <c r="AY68" s="255">
        <v>46</v>
      </c>
      <c r="AZ68" s="256">
        <v>45</v>
      </c>
      <c r="BA68" s="257">
        <v>0</v>
      </c>
      <c r="BB68" s="255">
        <v>0</v>
      </c>
      <c r="BC68" s="255">
        <v>0</v>
      </c>
      <c r="BD68" s="258">
        <v>0</v>
      </c>
      <c r="BE68" s="183"/>
      <c r="BF68" s="254">
        <v>16</v>
      </c>
      <c r="BG68" s="255">
        <v>3</v>
      </c>
      <c r="BH68" s="255">
        <v>12</v>
      </c>
      <c r="BI68" s="256">
        <v>83</v>
      </c>
      <c r="BJ68" s="257">
        <v>16</v>
      </c>
      <c r="BK68" s="255">
        <v>9</v>
      </c>
      <c r="BL68" s="255">
        <v>23</v>
      </c>
      <c r="BM68" s="256">
        <v>54</v>
      </c>
      <c r="BN68" s="257">
        <v>0</v>
      </c>
      <c r="BO68" s="255">
        <v>0</v>
      </c>
      <c r="BP68" s="255">
        <v>0</v>
      </c>
      <c r="BQ68" s="258">
        <v>0</v>
      </c>
      <c r="BR68" s="183"/>
      <c r="BS68" s="254">
        <v>0</v>
      </c>
      <c r="BT68" s="255">
        <v>0</v>
      </c>
      <c r="BU68" s="255">
        <v>0</v>
      </c>
      <c r="BV68" s="256">
        <v>0</v>
      </c>
      <c r="BW68" s="257">
        <v>0</v>
      </c>
      <c r="BX68" s="255">
        <v>0</v>
      </c>
      <c r="BY68" s="255">
        <v>0</v>
      </c>
      <c r="BZ68" s="256">
        <v>0</v>
      </c>
      <c r="CA68" s="257">
        <v>0</v>
      </c>
      <c r="CB68" s="255">
        <v>0</v>
      </c>
      <c r="CC68" s="255">
        <v>0</v>
      </c>
      <c r="CD68" s="258">
        <v>0</v>
      </c>
      <c r="CE68" s="183"/>
      <c r="CF68" s="254">
        <v>0</v>
      </c>
      <c r="CG68" s="255">
        <v>0</v>
      </c>
      <c r="CH68" s="255">
        <v>0</v>
      </c>
      <c r="CI68" s="258">
        <v>0</v>
      </c>
      <c r="CJ68" s="183"/>
      <c r="CK68" s="182">
        <v>58</v>
      </c>
      <c r="CL68" s="184" t="str">
        <f t="shared" si="6"/>
        <v>11:54:34,77</v>
      </c>
      <c r="CM68" s="185" t="str">
        <f t="shared" si="7"/>
        <v>12:1:2,98</v>
      </c>
      <c r="CN68" s="186" t="str">
        <f>IF(ISBLANK($E69),"",N68&amp;":"&amp;O68&amp;":"&amp;P68&amp;","&amp;Q68)</f>
        <v>0:0:0,0</v>
      </c>
      <c r="CO68" s="183"/>
      <c r="CP68" s="184" t="str">
        <f t="shared" si="24"/>
        <v>12:51:53,14</v>
      </c>
      <c r="CQ68" s="185" t="str">
        <f t="shared" si="25"/>
        <v>12:58:48,96</v>
      </c>
      <c r="CR68" s="186" t="str">
        <f t="shared" si="26"/>
        <v>0:0:0,0</v>
      </c>
      <c r="CS68" s="183"/>
      <c r="CT68" s="184" t="str">
        <f t="shared" si="27"/>
        <v>14:7:32,79</v>
      </c>
      <c r="CU68" s="185" t="str">
        <f t="shared" si="28"/>
        <v>14:13:52,13</v>
      </c>
      <c r="CV68" s="186" t="str">
        <f t="shared" si="29"/>
        <v>0:0:0,0</v>
      </c>
      <c r="CW68" s="183"/>
      <c r="CX68" s="184" t="str">
        <f t="shared" si="30"/>
        <v>15:30:57,18</v>
      </c>
      <c r="CY68" s="185" t="str">
        <f t="shared" si="31"/>
        <v>15:37:46,45</v>
      </c>
      <c r="CZ68" s="186" t="str">
        <f t="shared" si="32"/>
        <v>0:0:0,0</v>
      </c>
      <c r="DA68" s="183"/>
      <c r="DB68" s="184" t="str">
        <f t="shared" si="33"/>
        <v>16:3:12,83</v>
      </c>
      <c r="DC68" s="185" t="str">
        <f t="shared" si="34"/>
        <v>16:9:23,54</v>
      </c>
      <c r="DD68" s="186" t="str">
        <f t="shared" si="35"/>
        <v>0:0:0,0</v>
      </c>
      <c r="DE68" s="183"/>
      <c r="DF68" s="184" t="str">
        <f t="shared" si="36"/>
        <v>0:0:0,0</v>
      </c>
      <c r="DG68" s="185" t="str">
        <f t="shared" si="37"/>
        <v>0:0:0,0</v>
      </c>
      <c r="DH68" s="186" t="str">
        <f t="shared" si="38"/>
        <v>0:0:0,0</v>
      </c>
      <c r="DI68" s="183"/>
      <c r="DJ68" s="187" t="str">
        <f t="shared" si="39"/>
        <v>0:0:0,0</v>
      </c>
    </row>
    <row r="69" spans="2:114">
      <c r="B69" s="274">
        <f>IF(ISBLANK($E70),"",VLOOKUP($E70,Teilnehmer!$B$4:$K$199,2,0))</f>
        <v>1</v>
      </c>
      <c r="C69" s="190">
        <f>IF(ISBLANK($E70),"",VLOOKUP($E70,Teilnehmer!$B$4:$K$199,3,0))</f>
        <v>4</v>
      </c>
      <c r="D69" s="181" t="str">
        <f>IF(ISBLANK($E69),"",VLOOKUP($E69,Teilnehmer!$B$4:$K$199,4,0))</f>
        <v>Stör Andreas</v>
      </c>
      <c r="E69" s="182">
        <v>59</v>
      </c>
      <c r="F69" s="257">
        <v>11</v>
      </c>
      <c r="G69" s="255">
        <v>55</v>
      </c>
      <c r="H69" s="255">
        <v>43</v>
      </c>
      <c r="I69" s="258">
        <v>89</v>
      </c>
      <c r="J69" s="257">
        <v>12</v>
      </c>
      <c r="K69" s="255">
        <v>1</v>
      </c>
      <c r="L69" s="255">
        <v>26</v>
      </c>
      <c r="M69" s="258">
        <v>21</v>
      </c>
      <c r="N69" s="257">
        <v>0</v>
      </c>
      <c r="O69" s="255">
        <v>0</v>
      </c>
      <c r="P69" s="255">
        <v>0</v>
      </c>
      <c r="Q69" s="258">
        <v>0</v>
      </c>
      <c r="R69" s="183"/>
      <c r="S69" s="254">
        <v>12</v>
      </c>
      <c r="T69" s="255">
        <v>56</v>
      </c>
      <c r="U69" s="255">
        <v>21</v>
      </c>
      <c r="V69" s="258">
        <v>27</v>
      </c>
      <c r="W69" s="257">
        <v>13</v>
      </c>
      <c r="X69" s="255">
        <v>3</v>
      </c>
      <c r="Y69" s="255">
        <v>2</v>
      </c>
      <c r="Z69" s="256">
        <v>82</v>
      </c>
      <c r="AA69" s="257">
        <v>0</v>
      </c>
      <c r="AB69" s="255">
        <v>0</v>
      </c>
      <c r="AC69" s="255">
        <v>0</v>
      </c>
      <c r="AD69" s="258">
        <v>0</v>
      </c>
      <c r="AE69" s="183"/>
      <c r="AF69" s="254">
        <v>14</v>
      </c>
      <c r="AG69" s="255">
        <v>8</v>
      </c>
      <c r="AH69" s="255">
        <v>6</v>
      </c>
      <c r="AI69" s="256">
        <v>69</v>
      </c>
      <c r="AJ69" s="257">
        <v>14</v>
      </c>
      <c r="AK69" s="255">
        <v>13</v>
      </c>
      <c r="AL69" s="255">
        <v>54</v>
      </c>
      <c r="AM69" s="256">
        <v>66</v>
      </c>
      <c r="AN69" s="257">
        <v>0</v>
      </c>
      <c r="AO69" s="255">
        <v>0</v>
      </c>
      <c r="AP69" s="255">
        <v>0</v>
      </c>
      <c r="AQ69" s="258">
        <v>0</v>
      </c>
      <c r="AR69" s="183"/>
      <c r="AS69" s="254">
        <v>15</v>
      </c>
      <c r="AT69" s="255">
        <v>31</v>
      </c>
      <c r="AU69" s="255">
        <v>20</v>
      </c>
      <c r="AV69" s="256">
        <v>34</v>
      </c>
      <c r="AW69" s="257">
        <v>15</v>
      </c>
      <c r="AX69" s="255">
        <v>37</v>
      </c>
      <c r="AY69" s="255">
        <v>53</v>
      </c>
      <c r="AZ69" s="256">
        <v>18</v>
      </c>
      <c r="BA69" s="257">
        <v>0</v>
      </c>
      <c r="BB69" s="255">
        <v>0</v>
      </c>
      <c r="BC69" s="255">
        <v>0</v>
      </c>
      <c r="BD69" s="258">
        <v>0</v>
      </c>
      <c r="BE69" s="183"/>
      <c r="BF69" s="254">
        <v>16</v>
      </c>
      <c r="BG69" s="255">
        <v>5</v>
      </c>
      <c r="BH69" s="255">
        <v>4</v>
      </c>
      <c r="BI69" s="256">
        <v>62</v>
      </c>
      <c r="BJ69" s="257">
        <v>16</v>
      </c>
      <c r="BK69" s="255">
        <v>10</v>
      </c>
      <c r="BL69" s="255">
        <v>49</v>
      </c>
      <c r="BM69" s="256">
        <v>15</v>
      </c>
      <c r="BN69" s="257">
        <v>0</v>
      </c>
      <c r="BO69" s="255">
        <v>0</v>
      </c>
      <c r="BP69" s="255">
        <v>0</v>
      </c>
      <c r="BQ69" s="258">
        <v>0</v>
      </c>
      <c r="BR69" s="183"/>
      <c r="BS69" s="254">
        <v>0</v>
      </c>
      <c r="BT69" s="255">
        <v>0</v>
      </c>
      <c r="BU69" s="255">
        <v>0</v>
      </c>
      <c r="BV69" s="256">
        <v>0</v>
      </c>
      <c r="BW69" s="257">
        <v>0</v>
      </c>
      <c r="BX69" s="255">
        <v>0</v>
      </c>
      <c r="BY69" s="255">
        <v>0</v>
      </c>
      <c r="BZ69" s="256">
        <v>0</v>
      </c>
      <c r="CA69" s="257">
        <v>0</v>
      </c>
      <c r="CB69" s="255">
        <v>0</v>
      </c>
      <c r="CC69" s="255">
        <v>0</v>
      </c>
      <c r="CD69" s="258">
        <v>0</v>
      </c>
      <c r="CE69" s="183"/>
      <c r="CF69" s="254">
        <v>0</v>
      </c>
      <c r="CG69" s="255">
        <v>0</v>
      </c>
      <c r="CH69" s="255">
        <v>0</v>
      </c>
      <c r="CI69" s="258">
        <v>0</v>
      </c>
      <c r="CJ69" s="183"/>
      <c r="CK69" s="182">
        <v>59</v>
      </c>
      <c r="CL69" s="184" t="str">
        <f t="shared" si="6"/>
        <v>11:55:43,89</v>
      </c>
      <c r="CM69" s="185" t="str">
        <f t="shared" si="7"/>
        <v>12:1:26,21</v>
      </c>
      <c r="CN69" s="186" t="str">
        <f>IF(ISBLANK(#REF!),"",N69&amp;":"&amp;O69&amp;":"&amp;P69&amp;","&amp;Q69)</f>
        <v>0:0:0,0</v>
      </c>
      <c r="CO69" s="183"/>
      <c r="CP69" s="184" t="str">
        <f t="shared" si="24"/>
        <v>12:56:21,27</v>
      </c>
      <c r="CQ69" s="185" t="str">
        <f t="shared" si="25"/>
        <v>13:3:2,82</v>
      </c>
      <c r="CR69" s="186" t="str">
        <f t="shared" si="26"/>
        <v>0:0:0,0</v>
      </c>
      <c r="CS69" s="183"/>
      <c r="CT69" s="184" t="str">
        <f t="shared" si="27"/>
        <v>14:8:6,69</v>
      </c>
      <c r="CU69" s="185" t="str">
        <f t="shared" si="28"/>
        <v>14:13:54,66</v>
      </c>
      <c r="CV69" s="186" t="str">
        <f t="shared" si="29"/>
        <v>0:0:0,0</v>
      </c>
      <c r="CW69" s="183"/>
      <c r="CX69" s="184" t="str">
        <f t="shared" si="30"/>
        <v>15:31:20,34</v>
      </c>
      <c r="CY69" s="185" t="str">
        <f t="shared" si="31"/>
        <v>15:37:53,18</v>
      </c>
      <c r="CZ69" s="186" t="str">
        <f t="shared" si="32"/>
        <v>0:0:0,0</v>
      </c>
      <c r="DA69" s="183"/>
      <c r="DB69" s="184" t="str">
        <f t="shared" si="33"/>
        <v>16:5:4,62</v>
      </c>
      <c r="DC69" s="185" t="str">
        <f t="shared" si="34"/>
        <v>16:10:49,15</v>
      </c>
      <c r="DD69" s="186" t="str">
        <f t="shared" si="35"/>
        <v>0:0:0,0</v>
      </c>
      <c r="DE69" s="183"/>
      <c r="DF69" s="184" t="str">
        <f t="shared" si="36"/>
        <v>0:0:0,0</v>
      </c>
      <c r="DG69" s="185" t="str">
        <f t="shared" si="37"/>
        <v>0:0:0,0</v>
      </c>
      <c r="DH69" s="186" t="str">
        <f t="shared" si="38"/>
        <v>0:0:0,0</v>
      </c>
      <c r="DI69" s="183"/>
      <c r="DJ69" s="187" t="str">
        <f t="shared" si="39"/>
        <v>0:0:0,0</v>
      </c>
    </row>
    <row r="70" spans="2:114">
      <c r="B70" s="274">
        <f>IF(ISBLANK($E70),"",VLOOKUP($E70,Teilnehmer!$B$4:$K$199,2,0))</f>
        <v>1</v>
      </c>
      <c r="C70" s="190">
        <f>IF(ISBLANK($E70),"",VLOOKUP($E70,Teilnehmer!$B$4:$K$199,3,0))</f>
        <v>4</v>
      </c>
      <c r="D70" s="181" t="str">
        <f>IF(ISBLANK($E70),"",VLOOKUP($E70,Teilnehmer!$B$4:$K$199,4,0))</f>
        <v>Schulze Enrico</v>
      </c>
      <c r="E70" s="182">
        <v>61</v>
      </c>
      <c r="F70" s="257">
        <v>11</v>
      </c>
      <c r="G70" s="255">
        <v>58</v>
      </c>
      <c r="H70" s="255">
        <v>7</v>
      </c>
      <c r="I70" s="258">
        <v>70</v>
      </c>
      <c r="J70" s="257">
        <v>12</v>
      </c>
      <c r="K70" s="255">
        <v>4</v>
      </c>
      <c r="L70" s="255">
        <v>15</v>
      </c>
      <c r="M70" s="258">
        <v>11</v>
      </c>
      <c r="N70" s="257">
        <v>0</v>
      </c>
      <c r="O70" s="255">
        <v>0</v>
      </c>
      <c r="P70" s="255">
        <v>0</v>
      </c>
      <c r="Q70" s="258">
        <v>0</v>
      </c>
      <c r="R70" s="183"/>
      <c r="S70" s="254">
        <v>12</v>
      </c>
      <c r="T70" s="255">
        <v>57</v>
      </c>
      <c r="U70" s="255">
        <v>10</v>
      </c>
      <c r="V70" s="258">
        <v>89</v>
      </c>
      <c r="W70" s="257">
        <v>13</v>
      </c>
      <c r="X70" s="255">
        <v>3</v>
      </c>
      <c r="Y70" s="255">
        <v>56</v>
      </c>
      <c r="Z70" s="256">
        <v>66</v>
      </c>
      <c r="AA70" s="257">
        <v>0</v>
      </c>
      <c r="AB70" s="255">
        <v>0</v>
      </c>
      <c r="AC70" s="255">
        <v>0</v>
      </c>
      <c r="AD70" s="258">
        <v>0</v>
      </c>
      <c r="AE70" s="183"/>
      <c r="AF70" s="254">
        <v>14</v>
      </c>
      <c r="AG70" s="255">
        <v>8</v>
      </c>
      <c r="AH70" s="255">
        <v>55</v>
      </c>
      <c r="AI70" s="256">
        <v>71</v>
      </c>
      <c r="AJ70" s="257">
        <v>14</v>
      </c>
      <c r="AK70" s="255">
        <v>14</v>
      </c>
      <c r="AL70" s="255">
        <v>56</v>
      </c>
      <c r="AM70" s="256">
        <v>71</v>
      </c>
      <c r="AN70" s="257">
        <v>0</v>
      </c>
      <c r="AO70" s="255">
        <v>0</v>
      </c>
      <c r="AP70" s="255">
        <v>0</v>
      </c>
      <c r="AQ70" s="258">
        <v>0</v>
      </c>
      <c r="AR70" s="183"/>
      <c r="AS70" s="254">
        <v>15</v>
      </c>
      <c r="AT70" s="255">
        <v>31</v>
      </c>
      <c r="AU70" s="255">
        <v>39</v>
      </c>
      <c r="AV70" s="256">
        <v>72</v>
      </c>
      <c r="AW70" s="257">
        <v>15</v>
      </c>
      <c r="AX70" s="255">
        <v>38</v>
      </c>
      <c r="AY70" s="255">
        <v>10</v>
      </c>
      <c r="AZ70" s="256">
        <v>18</v>
      </c>
      <c r="BA70" s="257">
        <v>0</v>
      </c>
      <c r="BB70" s="255">
        <v>0</v>
      </c>
      <c r="BC70" s="255">
        <v>0</v>
      </c>
      <c r="BD70" s="258">
        <v>0</v>
      </c>
      <c r="BE70" s="183"/>
      <c r="BF70" s="254">
        <v>16</v>
      </c>
      <c r="BG70" s="255">
        <v>6</v>
      </c>
      <c r="BH70" s="255">
        <v>15</v>
      </c>
      <c r="BI70" s="256">
        <v>3</v>
      </c>
      <c r="BJ70" s="257">
        <v>16</v>
      </c>
      <c r="BK70" s="255">
        <v>12</v>
      </c>
      <c r="BL70" s="255">
        <v>14</v>
      </c>
      <c r="BM70" s="256">
        <v>54</v>
      </c>
      <c r="BN70" s="257">
        <v>0</v>
      </c>
      <c r="BO70" s="255">
        <v>0</v>
      </c>
      <c r="BP70" s="255">
        <v>30</v>
      </c>
      <c r="BQ70" s="258">
        <v>0</v>
      </c>
      <c r="BR70" s="183"/>
      <c r="BS70" s="254">
        <v>0</v>
      </c>
      <c r="BT70" s="255">
        <v>0</v>
      </c>
      <c r="BU70" s="255">
        <v>0</v>
      </c>
      <c r="BV70" s="256">
        <v>0</v>
      </c>
      <c r="BW70" s="257">
        <v>0</v>
      </c>
      <c r="BX70" s="255">
        <v>0</v>
      </c>
      <c r="BY70" s="255">
        <v>0</v>
      </c>
      <c r="BZ70" s="256">
        <v>0</v>
      </c>
      <c r="CA70" s="257">
        <v>0</v>
      </c>
      <c r="CB70" s="255">
        <v>0</v>
      </c>
      <c r="CC70" s="255">
        <v>0</v>
      </c>
      <c r="CD70" s="258">
        <v>0</v>
      </c>
      <c r="CE70" s="183"/>
      <c r="CF70" s="254">
        <v>0</v>
      </c>
      <c r="CG70" s="255">
        <v>0</v>
      </c>
      <c r="CH70" s="255">
        <v>0</v>
      </c>
      <c r="CI70" s="258">
        <v>0</v>
      </c>
      <c r="CJ70" s="183"/>
      <c r="CK70" s="182">
        <v>61</v>
      </c>
      <c r="CL70" s="184" t="str">
        <f t="shared" si="6"/>
        <v>11:58:7,70</v>
      </c>
      <c r="CM70" s="185" t="str">
        <f t="shared" si="7"/>
        <v>12:4:15,11</v>
      </c>
      <c r="CN70" s="186" t="str">
        <f t="shared" ref="CN43:CN70" si="40">IF(ISBLANK($E70),"",N70&amp;":"&amp;O70&amp;":"&amp;P70&amp;","&amp;Q70)</f>
        <v>0:0:0,0</v>
      </c>
      <c r="CO70" s="183"/>
      <c r="CP70" s="184" t="str">
        <f t="shared" si="24"/>
        <v>12:57:10,89</v>
      </c>
      <c r="CQ70" s="185" t="str">
        <f t="shared" si="25"/>
        <v>13:3:56,66</v>
      </c>
      <c r="CR70" s="186" t="str">
        <f t="shared" si="26"/>
        <v>0:0:0,0</v>
      </c>
      <c r="CS70" s="183"/>
      <c r="CT70" s="184" t="str">
        <f t="shared" si="27"/>
        <v>14:8:55,71</v>
      </c>
      <c r="CU70" s="185" t="str">
        <f t="shared" si="28"/>
        <v>14:14:56,71</v>
      </c>
      <c r="CV70" s="186" t="str">
        <f t="shared" si="29"/>
        <v>0:0:0,0</v>
      </c>
      <c r="CW70" s="183"/>
      <c r="CX70" s="184" t="str">
        <f t="shared" si="30"/>
        <v>15:31:39,72</v>
      </c>
      <c r="CY70" s="185" t="str">
        <f t="shared" si="31"/>
        <v>15:38:10,18</v>
      </c>
      <c r="CZ70" s="186" t="str">
        <f t="shared" si="32"/>
        <v>0:0:0,0</v>
      </c>
      <c r="DA70" s="183"/>
      <c r="DB70" s="184" t="str">
        <f t="shared" si="33"/>
        <v>16:6:15,3</v>
      </c>
      <c r="DC70" s="185" t="str">
        <f t="shared" si="34"/>
        <v>16:12:14,54</v>
      </c>
      <c r="DD70" s="186" t="str">
        <f t="shared" si="35"/>
        <v>0:0:30,0</v>
      </c>
      <c r="DE70" s="183"/>
      <c r="DF70" s="184" t="str">
        <f t="shared" si="36"/>
        <v>0:0:0,0</v>
      </c>
      <c r="DG70" s="185" t="str">
        <f t="shared" si="37"/>
        <v>0:0:0,0</v>
      </c>
      <c r="DH70" s="186" t="str">
        <f t="shared" si="38"/>
        <v>0:0:0,0</v>
      </c>
      <c r="DI70" s="183"/>
      <c r="DJ70" s="187" t="str">
        <f t="shared" si="39"/>
        <v>0:0:0,0</v>
      </c>
    </row>
    <row r="71" spans="2:114">
      <c r="B71" s="274">
        <f>IF(ISBLANK($E71),"",VLOOKUP($E71,Teilnehmer!$B$4:$K$199,2,0))</f>
        <v>1</v>
      </c>
      <c r="C71" s="190">
        <f>IF(ISBLANK($E71),"",VLOOKUP($E71,Teilnehmer!$B$4:$K$199,3,0))</f>
        <v>4</v>
      </c>
      <c r="D71" s="181" t="str">
        <f>IF(ISBLANK($E71),"",VLOOKUP($E71,Teilnehmer!$B$4:$K$199,4,0))</f>
        <v>Neumaier Martin</v>
      </c>
      <c r="E71" s="182">
        <v>62</v>
      </c>
      <c r="F71" s="257">
        <v>11</v>
      </c>
      <c r="G71" s="255">
        <v>59</v>
      </c>
      <c r="H71" s="255">
        <v>9</v>
      </c>
      <c r="I71" s="258">
        <v>66</v>
      </c>
      <c r="J71" s="257">
        <v>12</v>
      </c>
      <c r="K71" s="255">
        <v>5</v>
      </c>
      <c r="L71" s="255">
        <v>13</v>
      </c>
      <c r="M71" s="258">
        <v>53</v>
      </c>
      <c r="N71" s="257">
        <v>0</v>
      </c>
      <c r="O71" s="255">
        <v>0</v>
      </c>
      <c r="P71" s="255">
        <v>0</v>
      </c>
      <c r="Q71" s="258">
        <v>0</v>
      </c>
      <c r="R71" s="183"/>
      <c r="S71" s="254">
        <v>12</v>
      </c>
      <c r="T71" s="255">
        <v>57</v>
      </c>
      <c r="U71" s="255">
        <v>33</v>
      </c>
      <c r="V71" s="258">
        <v>21</v>
      </c>
      <c r="W71" s="257">
        <v>13</v>
      </c>
      <c r="X71" s="255">
        <v>4</v>
      </c>
      <c r="Y71" s="255">
        <v>1</v>
      </c>
      <c r="Z71" s="256">
        <v>89</v>
      </c>
      <c r="AA71" s="257">
        <v>0</v>
      </c>
      <c r="AB71" s="255">
        <v>0</v>
      </c>
      <c r="AC71" s="255">
        <v>0</v>
      </c>
      <c r="AD71" s="258">
        <v>0</v>
      </c>
      <c r="AE71" s="183"/>
      <c r="AF71" s="254">
        <v>14</v>
      </c>
      <c r="AG71" s="255">
        <v>10</v>
      </c>
      <c r="AH71" s="255">
        <v>38</v>
      </c>
      <c r="AI71" s="256">
        <v>57</v>
      </c>
      <c r="AJ71" s="257">
        <v>14</v>
      </c>
      <c r="AK71" s="255">
        <v>16</v>
      </c>
      <c r="AL71" s="255">
        <v>35</v>
      </c>
      <c r="AM71" s="256">
        <v>23</v>
      </c>
      <c r="AN71" s="257">
        <v>0</v>
      </c>
      <c r="AO71" s="255">
        <v>0</v>
      </c>
      <c r="AP71" s="255">
        <v>0</v>
      </c>
      <c r="AQ71" s="258">
        <v>0</v>
      </c>
      <c r="AR71" s="183"/>
      <c r="AS71" s="254">
        <v>15</v>
      </c>
      <c r="AT71" s="255">
        <v>36</v>
      </c>
      <c r="AU71" s="255">
        <v>25</v>
      </c>
      <c r="AV71" s="256">
        <v>21</v>
      </c>
      <c r="AW71" s="257">
        <v>15</v>
      </c>
      <c r="AX71" s="255">
        <v>42</v>
      </c>
      <c r="AY71" s="255">
        <v>41</v>
      </c>
      <c r="AZ71" s="256">
        <v>17</v>
      </c>
      <c r="BA71" s="257">
        <v>0</v>
      </c>
      <c r="BB71" s="255">
        <v>0</v>
      </c>
      <c r="BC71" s="255">
        <v>0</v>
      </c>
      <c r="BD71" s="258">
        <v>0</v>
      </c>
      <c r="BE71" s="183"/>
      <c r="BF71" s="254">
        <v>16</v>
      </c>
      <c r="BG71" s="255">
        <v>7</v>
      </c>
      <c r="BH71" s="255">
        <v>36</v>
      </c>
      <c r="BI71" s="256">
        <v>23</v>
      </c>
      <c r="BJ71" s="257">
        <v>16</v>
      </c>
      <c r="BK71" s="255">
        <v>13</v>
      </c>
      <c r="BL71" s="255">
        <v>32</v>
      </c>
      <c r="BM71" s="256">
        <v>71</v>
      </c>
      <c r="BN71" s="257">
        <v>0</v>
      </c>
      <c r="BO71" s="255">
        <v>0</v>
      </c>
      <c r="BP71" s="255">
        <v>0</v>
      </c>
      <c r="BQ71" s="258">
        <v>0</v>
      </c>
      <c r="BR71" s="183"/>
      <c r="BS71" s="254">
        <v>0</v>
      </c>
      <c r="BT71" s="255">
        <v>0</v>
      </c>
      <c r="BU71" s="255">
        <v>0</v>
      </c>
      <c r="BV71" s="256">
        <v>0</v>
      </c>
      <c r="BW71" s="257">
        <v>0</v>
      </c>
      <c r="BX71" s="255">
        <v>0</v>
      </c>
      <c r="BY71" s="255">
        <v>0</v>
      </c>
      <c r="BZ71" s="256">
        <v>0</v>
      </c>
      <c r="CA71" s="257">
        <v>0</v>
      </c>
      <c r="CB71" s="255">
        <v>0</v>
      </c>
      <c r="CC71" s="255">
        <v>0</v>
      </c>
      <c r="CD71" s="258">
        <v>0</v>
      </c>
      <c r="CE71" s="183"/>
      <c r="CF71" s="254">
        <v>0</v>
      </c>
      <c r="CG71" s="255">
        <v>0</v>
      </c>
      <c r="CH71" s="255">
        <v>0</v>
      </c>
      <c r="CI71" s="258">
        <v>0</v>
      </c>
      <c r="CK71" s="182">
        <v>62</v>
      </c>
      <c r="CL71" s="184" t="str">
        <f t="shared" si="6"/>
        <v>11:59:9,66</v>
      </c>
      <c r="CM71" s="185" t="str">
        <f t="shared" si="7"/>
        <v>12:5:13,53</v>
      </c>
      <c r="CN71" s="186" t="str">
        <f t="shared" ref="CN71:CN80" si="41">IF(ISBLANK($E71),"",N71&amp;":"&amp;O71&amp;":"&amp;P71&amp;","&amp;Q71)</f>
        <v>0:0:0,0</v>
      </c>
      <c r="CP71" s="184" t="str">
        <f t="shared" si="24"/>
        <v>12:57:33,21</v>
      </c>
      <c r="CQ71" s="185" t="str">
        <f t="shared" si="25"/>
        <v>13:4:1,89</v>
      </c>
      <c r="CR71" s="186" t="str">
        <f t="shared" si="26"/>
        <v>0:0:0,0</v>
      </c>
      <c r="CS71" s="183"/>
      <c r="CT71" s="184" t="str">
        <f t="shared" si="27"/>
        <v>14:10:38,57</v>
      </c>
      <c r="CU71" s="185" t="str">
        <f t="shared" si="28"/>
        <v>14:16:35,23</v>
      </c>
      <c r="CV71" s="186" t="str">
        <f t="shared" si="29"/>
        <v>0:0:0,0</v>
      </c>
      <c r="CW71" s="183"/>
      <c r="CX71" s="184" t="str">
        <f t="shared" si="30"/>
        <v>15:36:25,21</v>
      </c>
      <c r="CY71" s="185" t="str">
        <f t="shared" si="31"/>
        <v>15:42:41,17</v>
      </c>
      <c r="CZ71" s="186" t="str">
        <f t="shared" si="32"/>
        <v>0:0:0,0</v>
      </c>
      <c r="DA71" s="183"/>
      <c r="DB71" s="184" t="str">
        <f t="shared" si="33"/>
        <v>16:7:36,23</v>
      </c>
      <c r="DC71" s="185" t="str">
        <f t="shared" si="34"/>
        <v>16:13:32,71</v>
      </c>
      <c r="DD71" s="186" t="str">
        <f t="shared" si="35"/>
        <v>0:0:0,0</v>
      </c>
      <c r="DE71" s="183"/>
      <c r="DF71" s="184" t="str">
        <f t="shared" si="36"/>
        <v>0:0:0,0</v>
      </c>
      <c r="DG71" s="185" t="str">
        <f t="shared" si="37"/>
        <v>0:0:0,0</v>
      </c>
      <c r="DH71" s="186" t="str">
        <f t="shared" si="38"/>
        <v>0:0:0,0</v>
      </c>
      <c r="DI71" s="183"/>
      <c r="DJ71" s="187" t="str">
        <f t="shared" si="39"/>
        <v>0:0:0,0</v>
      </c>
    </row>
    <row r="72" spans="2:114">
      <c r="B72" s="274">
        <f>IF(ISBLANK($E72),"",VLOOKUP($E72,Teilnehmer!$B$4:$K$199,2,0))</f>
        <v>1</v>
      </c>
      <c r="C72" s="190">
        <f>IF(ISBLANK($E72),"",VLOOKUP($E72,Teilnehmer!$B$4:$K$199,3,0))</f>
        <v>4</v>
      </c>
      <c r="D72" s="181" t="str">
        <f>IF(ISBLANK($E72),"",VLOOKUP($E72,Teilnehmer!$B$4:$K$199,4,0))</f>
        <v>Schachtner Johann</v>
      </c>
      <c r="E72" s="182">
        <v>63</v>
      </c>
      <c r="F72" s="257">
        <v>11</v>
      </c>
      <c r="G72" s="255">
        <v>59</v>
      </c>
      <c r="H72" s="255">
        <v>58</v>
      </c>
      <c r="I72" s="258">
        <v>71</v>
      </c>
      <c r="J72" s="257">
        <v>12</v>
      </c>
      <c r="K72" s="255">
        <v>5</v>
      </c>
      <c r="L72" s="255">
        <v>49</v>
      </c>
      <c r="M72" s="258">
        <v>73</v>
      </c>
      <c r="N72" s="257">
        <v>0</v>
      </c>
      <c r="O72" s="255">
        <v>0</v>
      </c>
      <c r="P72" s="255">
        <v>0</v>
      </c>
      <c r="Q72" s="258">
        <v>0</v>
      </c>
      <c r="R72" s="183"/>
      <c r="S72" s="254">
        <v>13</v>
      </c>
      <c r="T72" s="255">
        <v>2</v>
      </c>
      <c r="U72" s="255">
        <v>9</v>
      </c>
      <c r="V72" s="258">
        <v>28</v>
      </c>
      <c r="W72" s="257">
        <v>13</v>
      </c>
      <c r="X72" s="255">
        <v>8</v>
      </c>
      <c r="Y72" s="255">
        <v>47</v>
      </c>
      <c r="Z72" s="256">
        <v>90</v>
      </c>
      <c r="AA72" s="257">
        <v>0</v>
      </c>
      <c r="AB72" s="255">
        <v>0</v>
      </c>
      <c r="AC72" s="255">
        <v>0</v>
      </c>
      <c r="AD72" s="258">
        <v>0</v>
      </c>
      <c r="AE72" s="183"/>
      <c r="AF72" s="254">
        <v>14</v>
      </c>
      <c r="AG72" s="255">
        <v>11</v>
      </c>
      <c r="AH72" s="255">
        <v>39</v>
      </c>
      <c r="AI72" s="256">
        <v>93</v>
      </c>
      <c r="AJ72" s="257">
        <v>14</v>
      </c>
      <c r="AK72" s="255">
        <v>17</v>
      </c>
      <c r="AL72" s="255">
        <v>23</v>
      </c>
      <c r="AM72" s="256">
        <v>82</v>
      </c>
      <c r="AN72" s="257">
        <v>0</v>
      </c>
      <c r="AO72" s="255">
        <v>0</v>
      </c>
      <c r="AP72" s="255">
        <v>0</v>
      </c>
      <c r="AQ72" s="258">
        <v>0</v>
      </c>
      <c r="AR72" s="183"/>
      <c r="AS72" s="254">
        <v>15</v>
      </c>
      <c r="AT72" s="255">
        <v>36</v>
      </c>
      <c r="AU72" s="255">
        <v>49</v>
      </c>
      <c r="AV72" s="256">
        <v>83</v>
      </c>
      <c r="AW72" s="257">
        <v>15</v>
      </c>
      <c r="AX72" s="255">
        <v>43</v>
      </c>
      <c r="AY72" s="255">
        <v>17</v>
      </c>
      <c r="AZ72" s="256">
        <v>24</v>
      </c>
      <c r="BA72" s="257">
        <v>0</v>
      </c>
      <c r="BB72" s="255">
        <v>0</v>
      </c>
      <c r="BC72" s="255">
        <v>0</v>
      </c>
      <c r="BD72" s="258">
        <v>0</v>
      </c>
      <c r="BE72" s="183"/>
      <c r="BF72" s="254">
        <v>16</v>
      </c>
      <c r="BG72" s="255">
        <v>9</v>
      </c>
      <c r="BH72" s="255">
        <v>3</v>
      </c>
      <c r="BI72" s="256">
        <v>43</v>
      </c>
      <c r="BJ72" s="257">
        <v>16</v>
      </c>
      <c r="BK72" s="255">
        <v>14</v>
      </c>
      <c r="BL72" s="255">
        <v>47</v>
      </c>
      <c r="BM72" s="256">
        <v>47</v>
      </c>
      <c r="BN72" s="257">
        <v>0</v>
      </c>
      <c r="BO72" s="255">
        <v>0</v>
      </c>
      <c r="BP72" s="255">
        <v>0</v>
      </c>
      <c r="BQ72" s="258">
        <v>0</v>
      </c>
      <c r="BR72" s="183"/>
      <c r="BS72" s="254">
        <v>0</v>
      </c>
      <c r="BT72" s="255">
        <v>0</v>
      </c>
      <c r="BU72" s="255">
        <v>0</v>
      </c>
      <c r="BV72" s="256">
        <v>0</v>
      </c>
      <c r="BW72" s="257">
        <v>0</v>
      </c>
      <c r="BX72" s="255">
        <v>0</v>
      </c>
      <c r="BY72" s="255">
        <v>0</v>
      </c>
      <c r="BZ72" s="256">
        <v>0</v>
      </c>
      <c r="CA72" s="257">
        <v>0</v>
      </c>
      <c r="CB72" s="255">
        <v>0</v>
      </c>
      <c r="CC72" s="255">
        <v>0</v>
      </c>
      <c r="CD72" s="258">
        <v>0</v>
      </c>
      <c r="CE72" s="183"/>
      <c r="CF72" s="254">
        <v>0</v>
      </c>
      <c r="CG72" s="255">
        <v>0</v>
      </c>
      <c r="CH72" s="255">
        <v>0</v>
      </c>
      <c r="CI72" s="258">
        <v>0</v>
      </c>
      <c r="CK72" s="182">
        <v>63</v>
      </c>
      <c r="CL72" s="184" t="str">
        <f t="shared" si="6"/>
        <v>11:59:58,71</v>
      </c>
      <c r="CM72" s="185" t="str">
        <f t="shared" si="7"/>
        <v>12:5:49,73</v>
      </c>
      <c r="CN72" s="186" t="str">
        <f t="shared" si="41"/>
        <v>0:0:0,0</v>
      </c>
      <c r="CP72" s="184" t="str">
        <f t="shared" si="24"/>
        <v>13:2:9,28</v>
      </c>
      <c r="CQ72" s="185" t="str">
        <f t="shared" si="25"/>
        <v>13:8:47,90</v>
      </c>
      <c r="CR72" s="186" t="str">
        <f t="shared" si="26"/>
        <v>0:0:0,0</v>
      </c>
      <c r="CS72" s="183"/>
      <c r="CT72" s="184" t="str">
        <f t="shared" si="27"/>
        <v>14:11:39,93</v>
      </c>
      <c r="CU72" s="185" t="str">
        <f t="shared" si="28"/>
        <v>14:17:23,82</v>
      </c>
      <c r="CV72" s="186" t="str">
        <f t="shared" si="29"/>
        <v>0:0:0,0</v>
      </c>
      <c r="CW72" s="183"/>
      <c r="CX72" s="184" t="str">
        <f t="shared" si="30"/>
        <v>15:36:49,83</v>
      </c>
      <c r="CY72" s="185" t="str">
        <f t="shared" si="31"/>
        <v>15:43:17,24</v>
      </c>
      <c r="CZ72" s="186" t="str">
        <f t="shared" si="32"/>
        <v>0:0:0,0</v>
      </c>
      <c r="DA72" s="183"/>
      <c r="DB72" s="184" t="str">
        <f t="shared" si="33"/>
        <v>16:9:3,43</v>
      </c>
      <c r="DC72" s="185" t="str">
        <f t="shared" si="34"/>
        <v>16:14:47,47</v>
      </c>
      <c r="DD72" s="186" t="str">
        <f t="shared" si="35"/>
        <v>0:0:0,0</v>
      </c>
      <c r="DE72" s="183"/>
      <c r="DF72" s="184" t="str">
        <f t="shared" si="36"/>
        <v>0:0:0,0</v>
      </c>
      <c r="DG72" s="185" t="str">
        <f t="shared" si="37"/>
        <v>0:0:0,0</v>
      </c>
      <c r="DH72" s="186" t="str">
        <f t="shared" si="38"/>
        <v>0:0:0,0</v>
      </c>
      <c r="DI72" s="183"/>
      <c r="DJ72" s="187" t="str">
        <f t="shared" si="39"/>
        <v>0:0:0,0</v>
      </c>
    </row>
    <row r="73" spans="2:114">
      <c r="B73" s="274">
        <f>IF(ISBLANK($E73),"",VLOOKUP($E73,Teilnehmer!$B$4:$K$199,2,0))</f>
        <v>1</v>
      </c>
      <c r="C73" s="190">
        <f>IF(ISBLANK($E73),"",VLOOKUP($E73,Teilnehmer!$B$4:$K$199,3,0))</f>
        <v>4</v>
      </c>
      <c r="D73" s="181" t="str">
        <f>IF(ISBLANK($E73),"",VLOOKUP($E73,Teilnehmer!$B$4:$K$199,4,0))</f>
        <v>Leidel Stefan</v>
      </c>
      <c r="E73" s="182">
        <v>64</v>
      </c>
      <c r="F73" s="257">
        <v>12</v>
      </c>
      <c r="G73" s="255">
        <v>0</v>
      </c>
      <c r="H73" s="255">
        <v>51</v>
      </c>
      <c r="I73" s="258">
        <v>18</v>
      </c>
      <c r="J73" s="257">
        <v>12</v>
      </c>
      <c r="K73" s="255">
        <v>7</v>
      </c>
      <c r="L73" s="255">
        <v>3</v>
      </c>
      <c r="M73" s="258">
        <v>76</v>
      </c>
      <c r="N73" s="257">
        <v>0</v>
      </c>
      <c r="O73" s="255">
        <v>0</v>
      </c>
      <c r="P73" s="255">
        <v>0</v>
      </c>
      <c r="Q73" s="258">
        <v>0</v>
      </c>
      <c r="R73" s="183"/>
      <c r="S73" s="254">
        <v>13</v>
      </c>
      <c r="T73" s="255">
        <v>2</v>
      </c>
      <c r="U73" s="255">
        <v>28</v>
      </c>
      <c r="V73" s="258">
        <v>96</v>
      </c>
      <c r="W73" s="257">
        <v>13</v>
      </c>
      <c r="X73" s="255">
        <v>9</v>
      </c>
      <c r="Y73" s="255">
        <v>27</v>
      </c>
      <c r="Z73" s="256">
        <v>44</v>
      </c>
      <c r="AA73" s="257">
        <v>0</v>
      </c>
      <c r="AB73" s="255">
        <v>0</v>
      </c>
      <c r="AC73" s="255">
        <v>0</v>
      </c>
      <c r="AD73" s="258">
        <v>0</v>
      </c>
      <c r="AE73" s="183"/>
      <c r="AF73" s="254">
        <v>14</v>
      </c>
      <c r="AG73" s="255">
        <v>13</v>
      </c>
      <c r="AH73" s="255">
        <v>14</v>
      </c>
      <c r="AI73" s="256">
        <v>70</v>
      </c>
      <c r="AJ73" s="257">
        <v>14</v>
      </c>
      <c r="AK73" s="255">
        <v>19</v>
      </c>
      <c r="AL73" s="255">
        <v>23</v>
      </c>
      <c r="AM73" s="256">
        <v>8</v>
      </c>
      <c r="AN73" s="257">
        <v>0</v>
      </c>
      <c r="AO73" s="255">
        <v>0</v>
      </c>
      <c r="AP73" s="255">
        <v>0</v>
      </c>
      <c r="AQ73" s="258">
        <v>0</v>
      </c>
      <c r="AR73" s="183"/>
      <c r="AS73" s="254">
        <v>15</v>
      </c>
      <c r="AT73" s="255">
        <v>37</v>
      </c>
      <c r="AU73" s="255">
        <v>5</v>
      </c>
      <c r="AV73" s="256">
        <v>84</v>
      </c>
      <c r="AW73" s="257">
        <v>15</v>
      </c>
      <c r="AX73" s="255">
        <v>43</v>
      </c>
      <c r="AY73" s="255">
        <v>53</v>
      </c>
      <c r="AZ73" s="256">
        <v>74</v>
      </c>
      <c r="BA73" s="257">
        <v>0</v>
      </c>
      <c r="BB73" s="255">
        <v>0</v>
      </c>
      <c r="BC73" s="255">
        <v>0</v>
      </c>
      <c r="BD73" s="258">
        <v>0</v>
      </c>
      <c r="BE73" s="183"/>
      <c r="BF73" s="254">
        <v>16</v>
      </c>
      <c r="BG73" s="255">
        <v>10</v>
      </c>
      <c r="BH73" s="255">
        <v>13</v>
      </c>
      <c r="BI73" s="256">
        <v>77</v>
      </c>
      <c r="BJ73" s="257">
        <v>16</v>
      </c>
      <c r="BK73" s="255">
        <v>16</v>
      </c>
      <c r="BL73" s="255">
        <v>21</v>
      </c>
      <c r="BM73" s="256">
        <v>4</v>
      </c>
      <c r="BN73" s="257">
        <v>0</v>
      </c>
      <c r="BO73" s="255">
        <v>0</v>
      </c>
      <c r="BP73" s="255">
        <v>0</v>
      </c>
      <c r="BQ73" s="258">
        <v>0</v>
      </c>
      <c r="BR73" s="183"/>
      <c r="BS73" s="254">
        <v>0</v>
      </c>
      <c r="BT73" s="255">
        <v>0</v>
      </c>
      <c r="BU73" s="255">
        <v>0</v>
      </c>
      <c r="BV73" s="256">
        <v>0</v>
      </c>
      <c r="BW73" s="257">
        <v>0</v>
      </c>
      <c r="BX73" s="255">
        <v>0</v>
      </c>
      <c r="BY73" s="255">
        <v>0</v>
      </c>
      <c r="BZ73" s="256">
        <v>0</v>
      </c>
      <c r="CA73" s="257">
        <v>0</v>
      </c>
      <c r="CB73" s="255">
        <v>0</v>
      </c>
      <c r="CC73" s="255">
        <v>0</v>
      </c>
      <c r="CD73" s="258">
        <v>0</v>
      </c>
      <c r="CE73" s="183"/>
      <c r="CF73" s="254">
        <v>0</v>
      </c>
      <c r="CG73" s="255">
        <v>0</v>
      </c>
      <c r="CH73" s="255">
        <v>0</v>
      </c>
      <c r="CI73" s="258">
        <v>0</v>
      </c>
      <c r="CK73" s="182">
        <v>64</v>
      </c>
      <c r="CL73" s="184" t="str">
        <f t="shared" si="6"/>
        <v>12:0:51,18</v>
      </c>
      <c r="CM73" s="185" t="str">
        <f t="shared" si="7"/>
        <v>12:7:3,76</v>
      </c>
      <c r="CN73" s="186" t="str">
        <f t="shared" si="41"/>
        <v>0:0:0,0</v>
      </c>
      <c r="CP73" s="184" t="str">
        <f t="shared" si="24"/>
        <v>13:2:28,96</v>
      </c>
      <c r="CQ73" s="185" t="str">
        <f t="shared" si="25"/>
        <v>13:9:27,44</v>
      </c>
      <c r="CR73" s="186" t="str">
        <f t="shared" si="26"/>
        <v>0:0:0,0</v>
      </c>
      <c r="CS73" s="183"/>
      <c r="CT73" s="184" t="str">
        <f t="shared" si="27"/>
        <v>14:13:14,70</v>
      </c>
      <c r="CU73" s="185" t="str">
        <f t="shared" si="28"/>
        <v>14:19:23,8</v>
      </c>
      <c r="CV73" s="186" t="str">
        <f t="shared" si="29"/>
        <v>0:0:0,0</v>
      </c>
      <c r="CW73" s="183"/>
      <c r="CX73" s="184" t="str">
        <f t="shared" si="30"/>
        <v>15:37:5,84</v>
      </c>
      <c r="CY73" s="185" t="str">
        <f t="shared" si="31"/>
        <v>15:43:53,74</v>
      </c>
      <c r="CZ73" s="186" t="str">
        <f t="shared" si="32"/>
        <v>0:0:0,0</v>
      </c>
      <c r="DA73" s="183"/>
      <c r="DB73" s="184" t="str">
        <f t="shared" si="33"/>
        <v>16:10:13,77</v>
      </c>
      <c r="DC73" s="185" t="str">
        <f t="shared" si="34"/>
        <v>16:16:21,4</v>
      </c>
      <c r="DD73" s="186" t="str">
        <f t="shared" si="35"/>
        <v>0:0:0,0</v>
      </c>
      <c r="DE73" s="183"/>
      <c r="DF73" s="184" t="str">
        <f t="shared" si="36"/>
        <v>0:0:0,0</v>
      </c>
      <c r="DG73" s="185" t="str">
        <f t="shared" si="37"/>
        <v>0:0:0,0</v>
      </c>
      <c r="DH73" s="186" t="str">
        <f t="shared" si="38"/>
        <v>0:0:0,0</v>
      </c>
      <c r="DI73" s="183"/>
      <c r="DJ73" s="187" t="str">
        <f t="shared" si="39"/>
        <v>0:0:0,0</v>
      </c>
    </row>
    <row r="74" spans="2:114">
      <c r="B74" s="274">
        <f>IF(ISBLANK($E74),"",VLOOKUP($E74,Teilnehmer!$B$4:$K$199,2,0))</f>
        <v>1</v>
      </c>
      <c r="C74" s="190">
        <f>IF(ISBLANK($E74),"",VLOOKUP($E74,Teilnehmer!$B$4:$K$199,3,0))</f>
        <v>4</v>
      </c>
      <c r="D74" s="181" t="str">
        <f>IF(ISBLANK($E74),"",VLOOKUP($E74,Teilnehmer!$B$4:$K$199,4,0))</f>
        <v>Meier Georg</v>
      </c>
      <c r="E74" s="182">
        <v>65</v>
      </c>
      <c r="F74" s="257">
        <v>12</v>
      </c>
      <c r="G74" s="255">
        <v>1</v>
      </c>
      <c r="H74" s="255">
        <v>55</v>
      </c>
      <c r="I74" s="258">
        <v>67</v>
      </c>
      <c r="J74" s="257">
        <v>12</v>
      </c>
      <c r="K74" s="255">
        <v>7</v>
      </c>
      <c r="L74" s="255">
        <v>58</v>
      </c>
      <c r="M74" s="258">
        <v>28</v>
      </c>
      <c r="N74" s="257">
        <v>0</v>
      </c>
      <c r="O74" s="255">
        <v>0</v>
      </c>
      <c r="P74" s="255">
        <v>0</v>
      </c>
      <c r="Q74" s="258">
        <v>0</v>
      </c>
      <c r="R74" s="183"/>
      <c r="S74" s="254">
        <v>13</v>
      </c>
      <c r="T74" s="255">
        <v>2</v>
      </c>
      <c r="U74" s="255">
        <v>45</v>
      </c>
      <c r="V74" s="258">
        <v>23</v>
      </c>
      <c r="W74" s="257">
        <v>13</v>
      </c>
      <c r="X74" s="255">
        <v>9</v>
      </c>
      <c r="Y74" s="255">
        <v>16</v>
      </c>
      <c r="Z74" s="256">
        <v>48</v>
      </c>
      <c r="AA74" s="257">
        <v>0</v>
      </c>
      <c r="AB74" s="255">
        <v>0</v>
      </c>
      <c r="AC74" s="255">
        <v>0</v>
      </c>
      <c r="AD74" s="258">
        <v>0</v>
      </c>
      <c r="AE74" s="183"/>
      <c r="AF74" s="254">
        <v>14</v>
      </c>
      <c r="AG74" s="255">
        <v>14</v>
      </c>
      <c r="AH74" s="255">
        <v>9</v>
      </c>
      <c r="AI74" s="256">
        <v>51</v>
      </c>
      <c r="AJ74" s="257">
        <v>14</v>
      </c>
      <c r="AK74" s="255">
        <v>20</v>
      </c>
      <c r="AL74" s="255">
        <v>1</v>
      </c>
      <c r="AM74" s="256">
        <v>57</v>
      </c>
      <c r="AN74" s="257">
        <v>0</v>
      </c>
      <c r="AO74" s="255">
        <v>0</v>
      </c>
      <c r="AP74" s="255">
        <v>0</v>
      </c>
      <c r="AQ74" s="258">
        <v>0</v>
      </c>
      <c r="AR74" s="183"/>
      <c r="AS74" s="254">
        <v>15</v>
      </c>
      <c r="AT74" s="255">
        <v>37</v>
      </c>
      <c r="AU74" s="255">
        <v>25</v>
      </c>
      <c r="AV74" s="256">
        <v>75</v>
      </c>
      <c r="AW74" s="257">
        <v>15</v>
      </c>
      <c r="AX74" s="255">
        <v>43</v>
      </c>
      <c r="AY74" s="255">
        <v>38</v>
      </c>
      <c r="AZ74" s="256">
        <v>87</v>
      </c>
      <c r="BA74" s="257">
        <v>0</v>
      </c>
      <c r="BB74" s="255">
        <v>0</v>
      </c>
      <c r="BC74" s="255">
        <v>0</v>
      </c>
      <c r="BD74" s="258">
        <v>0</v>
      </c>
      <c r="BE74" s="183"/>
      <c r="BF74" s="254">
        <v>16</v>
      </c>
      <c r="BG74" s="255">
        <v>11</v>
      </c>
      <c r="BH74" s="255">
        <v>33</v>
      </c>
      <c r="BI74" s="256">
        <v>11</v>
      </c>
      <c r="BJ74" s="257">
        <v>16</v>
      </c>
      <c r="BK74" s="255">
        <v>17</v>
      </c>
      <c r="BL74" s="255">
        <v>23</v>
      </c>
      <c r="BM74" s="256">
        <v>39</v>
      </c>
      <c r="BN74" s="257">
        <v>0</v>
      </c>
      <c r="BO74" s="255">
        <v>0</v>
      </c>
      <c r="BP74" s="255">
        <v>0</v>
      </c>
      <c r="BQ74" s="258">
        <v>0</v>
      </c>
      <c r="BR74" s="183"/>
      <c r="BS74" s="254">
        <v>0</v>
      </c>
      <c r="BT74" s="255">
        <v>0</v>
      </c>
      <c r="BU74" s="255">
        <v>0</v>
      </c>
      <c r="BV74" s="256">
        <v>0</v>
      </c>
      <c r="BW74" s="257">
        <v>0</v>
      </c>
      <c r="BX74" s="255">
        <v>0</v>
      </c>
      <c r="BY74" s="255">
        <v>0</v>
      </c>
      <c r="BZ74" s="256">
        <v>0</v>
      </c>
      <c r="CA74" s="257">
        <v>0</v>
      </c>
      <c r="CB74" s="255">
        <v>0</v>
      </c>
      <c r="CC74" s="255">
        <v>0</v>
      </c>
      <c r="CD74" s="258">
        <v>0</v>
      </c>
      <c r="CE74" s="183"/>
      <c r="CF74" s="254">
        <v>0</v>
      </c>
      <c r="CG74" s="255">
        <v>0</v>
      </c>
      <c r="CH74" s="255">
        <v>0</v>
      </c>
      <c r="CI74" s="258">
        <v>0</v>
      </c>
      <c r="CK74" s="182">
        <v>65</v>
      </c>
      <c r="CL74" s="184" t="str">
        <f t="shared" si="6"/>
        <v>12:1:55,67</v>
      </c>
      <c r="CM74" s="185" t="str">
        <f t="shared" si="7"/>
        <v>12:7:58,28</v>
      </c>
      <c r="CN74" s="186" t="str">
        <f t="shared" si="41"/>
        <v>0:0:0,0</v>
      </c>
      <c r="CP74" s="184" t="str">
        <f t="shared" si="24"/>
        <v>13:2:45,23</v>
      </c>
      <c r="CQ74" s="185" t="str">
        <f t="shared" si="25"/>
        <v>13:9:16,48</v>
      </c>
      <c r="CR74" s="186" t="str">
        <f t="shared" si="26"/>
        <v>0:0:0,0</v>
      </c>
      <c r="CS74" s="183"/>
      <c r="CT74" s="184" t="str">
        <f t="shared" si="27"/>
        <v>14:14:9,51</v>
      </c>
      <c r="CU74" s="185" t="str">
        <f t="shared" si="28"/>
        <v>14:20:1,57</v>
      </c>
      <c r="CV74" s="186" t="str">
        <f t="shared" si="29"/>
        <v>0:0:0,0</v>
      </c>
      <c r="CW74" s="183"/>
      <c r="CX74" s="184" t="str">
        <f t="shared" si="30"/>
        <v>15:37:25,75</v>
      </c>
      <c r="CY74" s="185" t="str">
        <f t="shared" si="31"/>
        <v>15:43:38,87</v>
      </c>
      <c r="CZ74" s="186" t="str">
        <f t="shared" si="32"/>
        <v>0:0:0,0</v>
      </c>
      <c r="DA74" s="183"/>
      <c r="DB74" s="184" t="str">
        <f t="shared" si="33"/>
        <v>16:11:33,11</v>
      </c>
      <c r="DC74" s="185" t="str">
        <f t="shared" si="34"/>
        <v>16:17:23,39</v>
      </c>
      <c r="DD74" s="186" t="str">
        <f t="shared" si="35"/>
        <v>0:0:0,0</v>
      </c>
      <c r="DE74" s="183"/>
      <c r="DF74" s="184" t="str">
        <f t="shared" si="36"/>
        <v>0:0:0,0</v>
      </c>
      <c r="DG74" s="185" t="str">
        <f t="shared" si="37"/>
        <v>0:0:0,0</v>
      </c>
      <c r="DH74" s="186" t="str">
        <f t="shared" si="38"/>
        <v>0:0:0,0</v>
      </c>
      <c r="DI74" s="183"/>
      <c r="DJ74" s="187" t="str">
        <f t="shared" si="39"/>
        <v>0:0:0,0</v>
      </c>
    </row>
    <row r="75" spans="2:114">
      <c r="B75" s="274">
        <f>IF(ISBLANK($E75),"",VLOOKUP($E75,Teilnehmer!$B$4:$K$199,2,0))</f>
        <v>1</v>
      </c>
      <c r="C75" s="190">
        <f>IF(ISBLANK($E75),"",VLOOKUP($E75,Teilnehmer!$B$4:$K$199,3,0))</f>
        <v>4</v>
      </c>
      <c r="D75" s="181" t="str">
        <f>IF(ISBLANK($E75),"",VLOOKUP($E75,Teilnehmer!$B$4:$K$199,4,0))</f>
        <v>Oberneder Josef</v>
      </c>
      <c r="E75" s="182">
        <v>66</v>
      </c>
      <c r="F75" s="257">
        <v>12</v>
      </c>
      <c r="G75" s="255">
        <v>2</v>
      </c>
      <c r="H75" s="255">
        <v>30</v>
      </c>
      <c r="I75" s="258">
        <v>34</v>
      </c>
      <c r="J75" s="257">
        <v>12</v>
      </c>
      <c r="K75" s="255">
        <v>8</v>
      </c>
      <c r="L75" s="255">
        <v>37</v>
      </c>
      <c r="M75" s="258">
        <v>1</v>
      </c>
      <c r="N75" s="257">
        <v>0</v>
      </c>
      <c r="O75" s="255">
        <v>0</v>
      </c>
      <c r="P75" s="255">
        <v>0</v>
      </c>
      <c r="Q75" s="258">
        <v>0</v>
      </c>
      <c r="R75" s="183"/>
      <c r="S75" s="254">
        <v>13</v>
      </c>
      <c r="T75" s="255">
        <v>3</v>
      </c>
      <c r="U75" s="255">
        <v>4</v>
      </c>
      <c r="V75" s="258">
        <v>43</v>
      </c>
      <c r="W75" s="257">
        <v>13</v>
      </c>
      <c r="X75" s="255">
        <v>9</v>
      </c>
      <c r="Y75" s="255">
        <v>42</v>
      </c>
      <c r="Z75" s="256">
        <v>12</v>
      </c>
      <c r="AA75" s="257">
        <v>0</v>
      </c>
      <c r="AB75" s="255">
        <v>0</v>
      </c>
      <c r="AC75" s="255">
        <v>0</v>
      </c>
      <c r="AD75" s="258">
        <v>0</v>
      </c>
      <c r="AE75" s="183"/>
      <c r="AF75" s="254">
        <v>14</v>
      </c>
      <c r="AG75" s="255">
        <v>14</v>
      </c>
      <c r="AH75" s="255">
        <v>44</v>
      </c>
      <c r="AI75" s="256">
        <v>47</v>
      </c>
      <c r="AJ75" s="257">
        <v>14</v>
      </c>
      <c r="AK75" s="255">
        <v>20</v>
      </c>
      <c r="AL75" s="255">
        <v>47</v>
      </c>
      <c r="AM75" s="256">
        <v>78</v>
      </c>
      <c r="AN75" s="257">
        <v>0</v>
      </c>
      <c r="AO75" s="255">
        <v>0</v>
      </c>
      <c r="AP75" s="255">
        <v>0</v>
      </c>
      <c r="AQ75" s="258">
        <v>0</v>
      </c>
      <c r="AR75" s="183"/>
      <c r="AS75" s="254">
        <v>15</v>
      </c>
      <c r="AT75" s="255">
        <v>42</v>
      </c>
      <c r="AU75" s="255">
        <v>0</v>
      </c>
      <c r="AV75" s="256">
        <v>15</v>
      </c>
      <c r="AW75" s="257">
        <v>15</v>
      </c>
      <c r="AX75" s="255">
        <v>48</v>
      </c>
      <c r="AY75" s="255">
        <v>27</v>
      </c>
      <c r="AZ75" s="256">
        <v>15</v>
      </c>
      <c r="BA75" s="257">
        <v>0</v>
      </c>
      <c r="BB75" s="255">
        <v>0</v>
      </c>
      <c r="BC75" s="255">
        <v>0</v>
      </c>
      <c r="BD75" s="258">
        <v>0</v>
      </c>
      <c r="BE75" s="183"/>
      <c r="BF75" s="254">
        <v>16</v>
      </c>
      <c r="BG75" s="255">
        <v>12</v>
      </c>
      <c r="BH75" s="255">
        <v>58</v>
      </c>
      <c r="BI75" s="256">
        <v>75</v>
      </c>
      <c r="BJ75" s="257">
        <v>16</v>
      </c>
      <c r="BK75" s="255">
        <v>18</v>
      </c>
      <c r="BL75" s="255">
        <v>52</v>
      </c>
      <c r="BM75" s="256">
        <v>53</v>
      </c>
      <c r="BN75" s="257">
        <v>0</v>
      </c>
      <c r="BO75" s="255">
        <v>0</v>
      </c>
      <c r="BP75" s="255">
        <v>0</v>
      </c>
      <c r="BQ75" s="258">
        <v>0</v>
      </c>
      <c r="BR75" s="183"/>
      <c r="BS75" s="254">
        <v>0</v>
      </c>
      <c r="BT75" s="255">
        <v>0</v>
      </c>
      <c r="BU75" s="255">
        <v>0</v>
      </c>
      <c r="BV75" s="256">
        <v>0</v>
      </c>
      <c r="BW75" s="257">
        <v>0</v>
      </c>
      <c r="BX75" s="255">
        <v>0</v>
      </c>
      <c r="BY75" s="255">
        <v>0</v>
      </c>
      <c r="BZ75" s="256">
        <v>0</v>
      </c>
      <c r="CA75" s="257">
        <v>0</v>
      </c>
      <c r="CB75" s="255">
        <v>0</v>
      </c>
      <c r="CC75" s="255">
        <v>0</v>
      </c>
      <c r="CD75" s="258">
        <v>0</v>
      </c>
      <c r="CE75" s="183"/>
      <c r="CF75" s="254">
        <v>0</v>
      </c>
      <c r="CG75" s="255">
        <v>0</v>
      </c>
      <c r="CH75" s="255">
        <v>0</v>
      </c>
      <c r="CI75" s="258">
        <v>0</v>
      </c>
      <c r="CK75" s="182">
        <v>66</v>
      </c>
      <c r="CL75" s="184" t="str">
        <f t="shared" ref="CL75:CL80" si="42">IF(ISBLANK($E75),"",F75&amp;":"&amp;G75&amp;":"&amp;H75&amp;","&amp;I75)</f>
        <v>12:2:30,34</v>
      </c>
      <c r="CM75" s="185" t="str">
        <f t="shared" ref="CM75:CM80" si="43">IF(ISBLANK($E75),"",J75&amp;":"&amp;K75&amp;":"&amp;L75&amp;","&amp;M75)</f>
        <v>12:8:37,1</v>
      </c>
      <c r="CN75" s="186" t="str">
        <f t="shared" si="41"/>
        <v>0:0:0,0</v>
      </c>
      <c r="CP75" s="184" t="str">
        <f t="shared" si="24"/>
        <v>13:3:4,43</v>
      </c>
      <c r="CQ75" s="185" t="str">
        <f t="shared" si="25"/>
        <v>13:9:42,12</v>
      </c>
      <c r="CR75" s="186" t="str">
        <f t="shared" si="26"/>
        <v>0:0:0,0</v>
      </c>
      <c r="CS75" s="183"/>
      <c r="CT75" s="184" t="str">
        <f t="shared" si="27"/>
        <v>14:14:44,47</v>
      </c>
      <c r="CU75" s="185" t="str">
        <f t="shared" si="28"/>
        <v>14:20:47,78</v>
      </c>
      <c r="CV75" s="186" t="str">
        <f t="shared" si="29"/>
        <v>0:0:0,0</v>
      </c>
      <c r="CW75" s="183"/>
      <c r="CX75" s="184" t="str">
        <f t="shared" si="30"/>
        <v>15:42:0,15</v>
      </c>
      <c r="CY75" s="185" t="str">
        <f t="shared" si="31"/>
        <v>15:48:27,15</v>
      </c>
      <c r="CZ75" s="186" t="str">
        <f t="shared" si="32"/>
        <v>0:0:0,0</v>
      </c>
      <c r="DA75" s="183"/>
      <c r="DB75" s="184" t="str">
        <f t="shared" si="33"/>
        <v>16:12:58,75</v>
      </c>
      <c r="DC75" s="185" t="str">
        <f t="shared" si="34"/>
        <v>16:18:52,53</v>
      </c>
      <c r="DD75" s="186" t="str">
        <f t="shared" si="35"/>
        <v>0:0:0,0</v>
      </c>
      <c r="DE75" s="183"/>
      <c r="DF75" s="184" t="str">
        <f t="shared" si="36"/>
        <v>0:0:0,0</v>
      </c>
      <c r="DG75" s="185" t="str">
        <f t="shared" si="37"/>
        <v>0:0:0,0</v>
      </c>
      <c r="DH75" s="186" t="str">
        <f t="shared" si="38"/>
        <v>0:0:0,0</v>
      </c>
      <c r="DI75" s="183"/>
      <c r="DJ75" s="187" t="str">
        <f t="shared" si="39"/>
        <v>0:0:0,0</v>
      </c>
    </row>
    <row r="76" spans="2:114">
      <c r="B76" s="274">
        <f>IF(ISBLANK($E76),"",VLOOKUP($E76,Teilnehmer!$B$4:$K$199,2,0))</f>
        <v>1</v>
      </c>
      <c r="C76" s="190">
        <f>IF(ISBLANK($E76),"",VLOOKUP($E76,Teilnehmer!$B$4:$K$199,3,0))</f>
        <v>4</v>
      </c>
      <c r="D76" s="181" t="str">
        <f>IF(ISBLANK($E76),"",VLOOKUP($E76,Teilnehmer!$B$4:$K$199,4,0))</f>
        <v>Walter Gerhard</v>
      </c>
      <c r="E76" s="182">
        <v>67</v>
      </c>
      <c r="F76" s="257">
        <v>12</v>
      </c>
      <c r="G76" s="255">
        <v>3</v>
      </c>
      <c r="H76" s="255">
        <v>34</v>
      </c>
      <c r="I76" s="258">
        <v>33</v>
      </c>
      <c r="J76" s="257">
        <v>12</v>
      </c>
      <c r="K76" s="255">
        <v>10</v>
      </c>
      <c r="L76" s="255">
        <v>31</v>
      </c>
      <c r="M76" s="258">
        <v>64</v>
      </c>
      <c r="N76" s="257">
        <v>0</v>
      </c>
      <c r="O76" s="255">
        <v>0</v>
      </c>
      <c r="P76" s="255">
        <v>0</v>
      </c>
      <c r="Q76" s="258">
        <v>0</v>
      </c>
      <c r="R76" s="183"/>
      <c r="S76" s="254">
        <v>13</v>
      </c>
      <c r="T76" s="255">
        <v>3</v>
      </c>
      <c r="U76" s="255">
        <v>22</v>
      </c>
      <c r="V76" s="258">
        <v>48</v>
      </c>
      <c r="W76" s="257">
        <v>13</v>
      </c>
      <c r="X76" s="255">
        <v>9</v>
      </c>
      <c r="Y76" s="255">
        <v>7</v>
      </c>
      <c r="Z76" s="256">
        <v>51</v>
      </c>
      <c r="AA76" s="257">
        <v>0</v>
      </c>
      <c r="AB76" s="255">
        <v>0</v>
      </c>
      <c r="AC76" s="255">
        <v>0</v>
      </c>
      <c r="AD76" s="258">
        <v>0</v>
      </c>
      <c r="AE76" s="183"/>
      <c r="AF76" s="311"/>
      <c r="AG76" s="311"/>
      <c r="AH76" s="311"/>
      <c r="AI76" s="311"/>
      <c r="AJ76" s="311"/>
      <c r="AK76" s="311"/>
      <c r="AL76" s="311"/>
      <c r="AM76" s="311"/>
      <c r="AN76" s="257">
        <v>0</v>
      </c>
      <c r="AO76" s="255">
        <v>0</v>
      </c>
      <c r="AP76" s="255">
        <v>0</v>
      </c>
      <c r="AQ76" s="258">
        <v>0</v>
      </c>
      <c r="AR76" s="183"/>
      <c r="AS76" s="311"/>
      <c r="AT76" s="311"/>
      <c r="AU76" s="311"/>
      <c r="AV76" s="311"/>
      <c r="AW76" s="311"/>
      <c r="AX76" s="311"/>
      <c r="AY76" s="311"/>
      <c r="AZ76" s="311"/>
      <c r="BA76" s="257">
        <v>0</v>
      </c>
      <c r="BB76" s="255">
        <v>0</v>
      </c>
      <c r="BC76" s="255">
        <v>0</v>
      </c>
      <c r="BD76" s="258">
        <v>0</v>
      </c>
      <c r="BE76" s="183"/>
      <c r="BF76" s="218"/>
      <c r="BG76" s="218"/>
      <c r="BH76" s="218"/>
      <c r="BI76" s="218"/>
      <c r="BJ76" s="218"/>
      <c r="BK76" s="218"/>
      <c r="BL76" s="218"/>
      <c r="BM76" s="218"/>
      <c r="BN76" s="257">
        <v>0</v>
      </c>
      <c r="BO76" s="255">
        <v>0</v>
      </c>
      <c r="BP76" s="255">
        <v>0</v>
      </c>
      <c r="BQ76" s="258">
        <v>0</v>
      </c>
      <c r="BR76" s="183"/>
      <c r="BS76" s="254">
        <v>0</v>
      </c>
      <c r="BT76" s="255">
        <v>0</v>
      </c>
      <c r="BU76" s="255">
        <v>0</v>
      </c>
      <c r="BV76" s="256">
        <v>0</v>
      </c>
      <c r="BW76" s="257">
        <v>0</v>
      </c>
      <c r="BX76" s="255">
        <v>0</v>
      </c>
      <c r="BY76" s="255">
        <v>0</v>
      </c>
      <c r="BZ76" s="256">
        <v>0</v>
      </c>
      <c r="CA76" s="257">
        <v>0</v>
      </c>
      <c r="CB76" s="255">
        <v>0</v>
      </c>
      <c r="CC76" s="255">
        <v>0</v>
      </c>
      <c r="CD76" s="258">
        <v>0</v>
      </c>
      <c r="CE76" s="183"/>
      <c r="CF76" s="254">
        <v>0</v>
      </c>
      <c r="CG76" s="255">
        <v>0</v>
      </c>
      <c r="CH76" s="255">
        <v>0</v>
      </c>
      <c r="CI76" s="258">
        <v>0</v>
      </c>
      <c r="CK76" s="182">
        <v>67</v>
      </c>
      <c r="CL76" s="184" t="str">
        <f t="shared" si="42"/>
        <v>12:3:34,33</v>
      </c>
      <c r="CM76" s="185" t="str">
        <f t="shared" si="43"/>
        <v>12:10:31,64</v>
      </c>
      <c r="CN76" s="186" t="str">
        <f t="shared" si="41"/>
        <v>0:0:0,0</v>
      </c>
      <c r="CP76" s="184" t="str">
        <f t="shared" ref="CP76:CP80" si="44">IF(ISBLANK($E76),"",S76&amp;":"&amp;T76&amp;":"&amp;U76&amp;","&amp;V76)</f>
        <v>13:3:22,48</v>
      </c>
      <c r="CQ76" s="185" t="str">
        <f t="shared" ref="CQ76:CQ80" si="45">IF(ISBLANK($E76),"",W76&amp;":"&amp;X76&amp;":"&amp;Y76&amp;","&amp;Z76)</f>
        <v>13:9:7,51</v>
      </c>
      <c r="CR76" s="186" t="str">
        <f t="shared" ref="CR76:CR80" si="46">IF(ISBLANK($E76),"",AA76&amp;":"&amp;AB76&amp;":"&amp;AC76&amp;","&amp;AD76)</f>
        <v>0:0:0,0</v>
      </c>
      <c r="CS76" s="183"/>
      <c r="CT76" s="184" t="str">
        <f t="shared" ref="CT76:CT80" si="47">IF(ISBLANK($E76),"",AF76&amp;":"&amp;AG76&amp;":"&amp;AH76&amp;","&amp;AI76)</f>
        <v>::,</v>
      </c>
      <c r="CU76" s="185" t="str">
        <f t="shared" ref="CU76:CU80" si="48">IF(ISBLANK($E76),"",AJ76&amp;":"&amp;AK76&amp;":"&amp;AL76&amp;","&amp;AM76)</f>
        <v>::,</v>
      </c>
      <c r="CV76" s="186" t="str">
        <f t="shared" ref="CV76:CV80" si="49">IF(ISBLANK($E76),"",AN76&amp;":"&amp;AO76&amp;":"&amp;AP76&amp;","&amp;AQ76)</f>
        <v>0:0:0,0</v>
      </c>
      <c r="CW76" s="183"/>
      <c r="CX76" s="184" t="str">
        <f t="shared" ref="CX76:CX80" si="50">IF(ISBLANK($E76),"",AS76&amp;":"&amp;AT76&amp;":"&amp;AU76&amp;","&amp;AV76)</f>
        <v>::,</v>
      </c>
      <c r="CY76" s="185" t="str">
        <f t="shared" ref="CY76:CY80" si="51">IF(ISBLANK($E76),"",AW76&amp;":"&amp;AX76&amp;":"&amp;AY76&amp;","&amp;AZ76)</f>
        <v>::,</v>
      </c>
      <c r="CZ76" s="186" t="str">
        <f t="shared" ref="CZ76:CZ80" si="52">IF(ISBLANK($E76),"",BA76&amp;":"&amp;BB76&amp;":"&amp;BC76&amp;","&amp;BD76)</f>
        <v>0:0:0,0</v>
      </c>
      <c r="DA76" s="183"/>
      <c r="DB76" s="184" t="str">
        <f t="shared" ref="DB76:DB80" si="53">IF(ISBLANK($E76),"",BF76&amp;":"&amp;BG76&amp;":"&amp;BH76&amp;","&amp;BI76)</f>
        <v>::,</v>
      </c>
      <c r="DC76" s="185" t="str">
        <f t="shared" ref="DC76:DC80" si="54">IF(ISBLANK($E76),"",BJ76&amp;":"&amp;BK76&amp;":"&amp;BL76&amp;","&amp;BM76)</f>
        <v>::,</v>
      </c>
      <c r="DD76" s="186" t="str">
        <f t="shared" ref="DD76:DD80" si="55">IF(ISBLANK($E76),"",BN76&amp;":"&amp;BO76&amp;":"&amp;BP76&amp;","&amp;BQ76)</f>
        <v>0:0:0,0</v>
      </c>
      <c r="DE76" s="183"/>
      <c r="DF76" s="184" t="str">
        <f t="shared" ref="DF76:DF80" si="56">IF(ISBLANK($E76),"",BS76&amp;":"&amp;BT76&amp;":"&amp;BU76&amp;","&amp;BV76)</f>
        <v>0:0:0,0</v>
      </c>
      <c r="DG76" s="185" t="str">
        <f t="shared" ref="DG76:DG80" si="57">IF(ISBLANK($E76),"",BW76&amp;":"&amp;BX76&amp;":"&amp;BY76&amp;","&amp;BZ76)</f>
        <v>0:0:0,0</v>
      </c>
      <c r="DH76" s="186" t="str">
        <f t="shared" ref="DH76:DH80" si="58">IF(ISBLANK($E76),"",CA76&amp;":"&amp;CB76&amp;":"&amp;CC76&amp;","&amp;CD76)</f>
        <v>0:0:0,0</v>
      </c>
      <c r="DI76" s="183"/>
      <c r="DJ76" s="187" t="str">
        <f t="shared" ref="DJ76:DJ80" si="59">IF(ISBLANK($E76),"",CF76&amp;":"&amp;CG76&amp;":"&amp;CH76&amp;","&amp;CI76)</f>
        <v>0:0:0,0</v>
      </c>
    </row>
    <row r="77" spans="2:114">
      <c r="B77" s="274">
        <f>IF(ISBLANK($E77),"",VLOOKUP($E77,Teilnehmer!$B$4:$K$199,2,0))</f>
        <v>1</v>
      </c>
      <c r="C77" s="190">
        <f>IF(ISBLANK($E77),"",VLOOKUP($E77,Teilnehmer!$B$4:$K$199,3,0))</f>
        <v>4</v>
      </c>
      <c r="D77" s="181" t="str">
        <f>IF(ISBLANK($E77),"",VLOOKUP($E77,Teilnehmer!$B$4:$K$199,4,0))</f>
        <v>Deisinger Justin</v>
      </c>
      <c r="E77" s="182">
        <v>68</v>
      </c>
      <c r="F77" s="257">
        <v>12</v>
      </c>
      <c r="G77" s="255">
        <v>5</v>
      </c>
      <c r="H77" s="255">
        <v>12</v>
      </c>
      <c r="I77" s="258">
        <v>86</v>
      </c>
      <c r="J77" s="257">
        <v>12</v>
      </c>
      <c r="K77" s="255">
        <v>11</v>
      </c>
      <c r="L77" s="255">
        <v>22</v>
      </c>
      <c r="M77" s="258">
        <v>43</v>
      </c>
      <c r="N77" s="257">
        <v>0</v>
      </c>
      <c r="O77" s="255">
        <v>0</v>
      </c>
      <c r="P77" s="255">
        <v>0</v>
      </c>
      <c r="Q77" s="258">
        <v>0</v>
      </c>
      <c r="R77" s="183"/>
      <c r="S77" s="254">
        <v>13</v>
      </c>
      <c r="T77" s="255">
        <v>8</v>
      </c>
      <c r="U77" s="255">
        <v>31</v>
      </c>
      <c r="V77" s="258">
        <v>51</v>
      </c>
      <c r="W77" s="257">
        <v>13</v>
      </c>
      <c r="X77" s="255">
        <v>15</v>
      </c>
      <c r="Y77" s="255">
        <v>41</v>
      </c>
      <c r="Z77" s="256">
        <v>55</v>
      </c>
      <c r="AA77" s="257">
        <v>0</v>
      </c>
      <c r="AB77" s="255">
        <v>0</v>
      </c>
      <c r="AC77" s="255">
        <v>0</v>
      </c>
      <c r="AD77" s="258">
        <v>0</v>
      </c>
      <c r="AE77" s="183"/>
      <c r="AF77" s="254">
        <v>14</v>
      </c>
      <c r="AG77" s="255">
        <v>15</v>
      </c>
      <c r="AH77" s="255">
        <v>56</v>
      </c>
      <c r="AI77" s="256">
        <v>17</v>
      </c>
      <c r="AJ77" s="257">
        <v>14</v>
      </c>
      <c r="AK77" s="255">
        <v>21</v>
      </c>
      <c r="AL77" s="255">
        <v>53</v>
      </c>
      <c r="AM77" s="256">
        <v>61</v>
      </c>
      <c r="AN77" s="257">
        <v>0</v>
      </c>
      <c r="AO77" s="255">
        <v>0</v>
      </c>
      <c r="AP77" s="255">
        <v>0</v>
      </c>
      <c r="AQ77" s="258">
        <v>0</v>
      </c>
      <c r="AR77" s="183"/>
      <c r="AS77" s="254">
        <v>15</v>
      </c>
      <c r="AT77" s="255">
        <v>42</v>
      </c>
      <c r="AU77" s="255">
        <v>19</v>
      </c>
      <c r="AV77" s="256">
        <v>66</v>
      </c>
      <c r="AW77" s="257">
        <v>15</v>
      </c>
      <c r="AX77" s="255">
        <v>49</v>
      </c>
      <c r="AY77" s="255">
        <v>13</v>
      </c>
      <c r="AZ77" s="256">
        <v>20</v>
      </c>
      <c r="BA77" s="257">
        <v>0</v>
      </c>
      <c r="BB77" s="255">
        <v>0</v>
      </c>
      <c r="BC77" s="255">
        <v>0</v>
      </c>
      <c r="BD77" s="258">
        <v>0</v>
      </c>
      <c r="BE77" s="183"/>
      <c r="BF77" s="254">
        <v>16</v>
      </c>
      <c r="BG77" s="255">
        <v>14</v>
      </c>
      <c r="BH77" s="255">
        <v>10</v>
      </c>
      <c r="BI77" s="256">
        <v>0</v>
      </c>
      <c r="BJ77" s="257">
        <v>16</v>
      </c>
      <c r="BK77" s="255">
        <v>20</v>
      </c>
      <c r="BL77" s="255">
        <v>5</v>
      </c>
      <c r="BM77" s="256">
        <v>93</v>
      </c>
      <c r="BN77" s="257">
        <v>0</v>
      </c>
      <c r="BO77" s="255">
        <v>0</v>
      </c>
      <c r="BP77" s="255">
        <v>0</v>
      </c>
      <c r="BQ77" s="258">
        <v>0</v>
      </c>
      <c r="BR77" s="183"/>
      <c r="BS77" s="254">
        <v>0</v>
      </c>
      <c r="BT77" s="255">
        <v>0</v>
      </c>
      <c r="BU77" s="255">
        <v>0</v>
      </c>
      <c r="BV77" s="256">
        <v>0</v>
      </c>
      <c r="BW77" s="257">
        <v>0</v>
      </c>
      <c r="BX77" s="255">
        <v>0</v>
      </c>
      <c r="BY77" s="255">
        <v>0</v>
      </c>
      <c r="BZ77" s="256">
        <v>0</v>
      </c>
      <c r="CA77" s="257">
        <v>0</v>
      </c>
      <c r="CB77" s="255">
        <v>0</v>
      </c>
      <c r="CC77" s="255">
        <v>0</v>
      </c>
      <c r="CD77" s="258">
        <v>0</v>
      </c>
      <c r="CE77" s="183"/>
      <c r="CF77" s="254">
        <v>0</v>
      </c>
      <c r="CG77" s="255">
        <v>0</v>
      </c>
      <c r="CH77" s="255">
        <v>0</v>
      </c>
      <c r="CI77" s="258">
        <v>0</v>
      </c>
      <c r="CK77" s="182">
        <v>68</v>
      </c>
      <c r="CL77" s="184" t="str">
        <f t="shared" si="42"/>
        <v>12:5:12,86</v>
      </c>
      <c r="CM77" s="185" t="str">
        <f t="shared" si="43"/>
        <v>12:11:22,43</v>
      </c>
      <c r="CN77" s="186" t="str">
        <f t="shared" si="41"/>
        <v>0:0:0,0</v>
      </c>
      <c r="CP77" s="184" t="str">
        <f t="shared" si="44"/>
        <v>13:8:31,51</v>
      </c>
      <c r="CQ77" s="185" t="str">
        <f t="shared" si="45"/>
        <v>13:15:41,55</v>
      </c>
      <c r="CR77" s="186" t="str">
        <f t="shared" si="46"/>
        <v>0:0:0,0</v>
      </c>
      <c r="CS77" s="183"/>
      <c r="CT77" s="184" t="str">
        <f t="shared" si="47"/>
        <v>14:15:56,17</v>
      </c>
      <c r="CU77" s="185" t="str">
        <f t="shared" si="48"/>
        <v>14:21:53,61</v>
      </c>
      <c r="CV77" s="186" t="str">
        <f t="shared" si="49"/>
        <v>0:0:0,0</v>
      </c>
      <c r="CW77" s="183"/>
      <c r="CX77" s="184" t="str">
        <f t="shared" si="50"/>
        <v>15:42:19,66</v>
      </c>
      <c r="CY77" s="185" t="str">
        <f t="shared" si="51"/>
        <v>15:49:13,20</v>
      </c>
      <c r="CZ77" s="186" t="str">
        <f t="shared" si="52"/>
        <v>0:0:0,0</v>
      </c>
      <c r="DA77" s="183"/>
      <c r="DB77" s="184" t="str">
        <f t="shared" si="53"/>
        <v>16:14:10,0</v>
      </c>
      <c r="DC77" s="185" t="str">
        <f t="shared" si="54"/>
        <v>16:20:5,93</v>
      </c>
      <c r="DD77" s="186" t="str">
        <f t="shared" si="55"/>
        <v>0:0:0,0</v>
      </c>
      <c r="DE77" s="183"/>
      <c r="DF77" s="184" t="str">
        <f t="shared" si="56"/>
        <v>0:0:0,0</v>
      </c>
      <c r="DG77" s="185" t="str">
        <f t="shared" si="57"/>
        <v>0:0:0,0</v>
      </c>
      <c r="DH77" s="186" t="str">
        <f t="shared" si="58"/>
        <v>0:0:0,0</v>
      </c>
      <c r="DI77" s="183"/>
      <c r="DJ77" s="187" t="str">
        <f t="shared" si="59"/>
        <v>0:0:0,0</v>
      </c>
    </row>
    <row r="78" spans="2:114">
      <c r="B78" s="274">
        <f>IF(ISBLANK($E78),"",VLOOKUP($E78,Teilnehmer!$B$4:$K$199,2,0))</f>
        <v>1</v>
      </c>
      <c r="C78" s="190">
        <f>IF(ISBLANK($E78),"",VLOOKUP($E78,Teilnehmer!$B$4:$K$199,3,0))</f>
        <v>4</v>
      </c>
      <c r="D78" s="181" t="str">
        <f>IF(ISBLANK($E78),"",VLOOKUP($E78,Teilnehmer!$B$4:$K$199,4,0))</f>
        <v>Heider Daniel</v>
      </c>
      <c r="E78" s="182">
        <v>69</v>
      </c>
      <c r="F78" s="257">
        <v>12</v>
      </c>
      <c r="G78" s="255">
        <v>5</v>
      </c>
      <c r="H78" s="255">
        <v>58</v>
      </c>
      <c r="I78" s="258">
        <v>56</v>
      </c>
      <c r="J78" s="257">
        <v>12</v>
      </c>
      <c r="K78" s="255">
        <v>12</v>
      </c>
      <c r="L78" s="255">
        <v>1</v>
      </c>
      <c r="M78" s="258">
        <v>47</v>
      </c>
      <c r="N78" s="257">
        <v>0</v>
      </c>
      <c r="O78" s="255">
        <v>0</v>
      </c>
      <c r="P78" s="255">
        <v>0</v>
      </c>
      <c r="Q78" s="258">
        <v>0</v>
      </c>
      <c r="R78" s="183"/>
      <c r="S78" s="254">
        <v>13</v>
      </c>
      <c r="T78" s="255">
        <v>8</v>
      </c>
      <c r="U78" s="255">
        <v>51</v>
      </c>
      <c r="V78" s="258">
        <v>37</v>
      </c>
      <c r="W78" s="257">
        <v>13</v>
      </c>
      <c r="X78" s="255">
        <v>15</v>
      </c>
      <c r="Y78" s="255">
        <v>32</v>
      </c>
      <c r="Z78" s="256">
        <v>51</v>
      </c>
      <c r="AA78" s="257">
        <v>0</v>
      </c>
      <c r="AB78" s="255">
        <v>0</v>
      </c>
      <c r="AC78" s="255">
        <v>0</v>
      </c>
      <c r="AD78" s="258">
        <v>0</v>
      </c>
      <c r="AE78" s="183"/>
      <c r="AF78" s="254">
        <v>14</v>
      </c>
      <c r="AG78" s="255">
        <v>17</v>
      </c>
      <c r="AH78" s="255">
        <v>22</v>
      </c>
      <c r="AI78" s="256">
        <v>83</v>
      </c>
      <c r="AJ78" s="257">
        <v>14</v>
      </c>
      <c r="AK78" s="255">
        <v>23</v>
      </c>
      <c r="AL78" s="255">
        <v>15</v>
      </c>
      <c r="AM78" s="256">
        <v>43</v>
      </c>
      <c r="AN78" s="257">
        <v>0</v>
      </c>
      <c r="AO78" s="255">
        <v>0</v>
      </c>
      <c r="AP78" s="255">
        <v>0</v>
      </c>
      <c r="AQ78" s="258">
        <v>0</v>
      </c>
      <c r="AR78" s="183"/>
      <c r="AS78" s="254">
        <v>15</v>
      </c>
      <c r="AT78" s="255">
        <v>42</v>
      </c>
      <c r="AU78" s="255">
        <v>39</v>
      </c>
      <c r="AV78" s="256">
        <v>6</v>
      </c>
      <c r="AW78" s="257">
        <v>15</v>
      </c>
      <c r="AX78" s="255">
        <v>49</v>
      </c>
      <c r="AY78" s="255">
        <v>7</v>
      </c>
      <c r="AZ78" s="256">
        <v>73</v>
      </c>
      <c r="BA78" s="257">
        <v>0</v>
      </c>
      <c r="BB78" s="255">
        <v>0</v>
      </c>
      <c r="BC78" s="255">
        <v>0</v>
      </c>
      <c r="BD78" s="258">
        <v>0</v>
      </c>
      <c r="BE78" s="183"/>
      <c r="BF78" s="218"/>
      <c r="BG78" s="218"/>
      <c r="BH78" s="218"/>
      <c r="BI78" s="218"/>
      <c r="BJ78" s="218"/>
      <c r="BK78" s="218"/>
      <c r="BL78" s="218"/>
      <c r="BM78" s="218"/>
      <c r="BN78" s="257">
        <v>0</v>
      </c>
      <c r="BO78" s="255">
        <v>0</v>
      </c>
      <c r="BP78" s="255">
        <v>0</v>
      </c>
      <c r="BQ78" s="258">
        <v>0</v>
      </c>
      <c r="BR78" s="183"/>
      <c r="BS78" s="254">
        <v>0</v>
      </c>
      <c r="BT78" s="255">
        <v>0</v>
      </c>
      <c r="BU78" s="255">
        <v>0</v>
      </c>
      <c r="BV78" s="256">
        <v>0</v>
      </c>
      <c r="BW78" s="257">
        <v>0</v>
      </c>
      <c r="BX78" s="255">
        <v>0</v>
      </c>
      <c r="BY78" s="255">
        <v>0</v>
      </c>
      <c r="BZ78" s="256">
        <v>0</v>
      </c>
      <c r="CA78" s="257">
        <v>0</v>
      </c>
      <c r="CB78" s="255">
        <v>0</v>
      </c>
      <c r="CC78" s="255">
        <v>0</v>
      </c>
      <c r="CD78" s="258">
        <v>0</v>
      </c>
      <c r="CE78" s="183"/>
      <c r="CF78" s="254">
        <v>0</v>
      </c>
      <c r="CG78" s="255">
        <v>0</v>
      </c>
      <c r="CH78" s="255">
        <v>0</v>
      </c>
      <c r="CI78" s="258">
        <v>0</v>
      </c>
      <c r="CK78" s="182">
        <v>69</v>
      </c>
      <c r="CL78" s="184" t="str">
        <f t="shared" si="42"/>
        <v>12:5:58,56</v>
      </c>
      <c r="CM78" s="185" t="str">
        <f t="shared" si="43"/>
        <v>12:12:1,47</v>
      </c>
      <c r="CN78" s="186" t="str">
        <f t="shared" si="41"/>
        <v>0:0:0,0</v>
      </c>
      <c r="CP78" s="184" t="str">
        <f t="shared" si="44"/>
        <v>13:8:51,37</v>
      </c>
      <c r="CQ78" s="185" t="str">
        <f t="shared" si="45"/>
        <v>13:15:32,51</v>
      </c>
      <c r="CR78" s="186" t="str">
        <f t="shared" si="46"/>
        <v>0:0:0,0</v>
      </c>
      <c r="CS78" s="183"/>
      <c r="CT78" s="184" t="str">
        <f t="shared" si="47"/>
        <v>14:17:22,83</v>
      </c>
      <c r="CU78" s="185" t="str">
        <f t="shared" si="48"/>
        <v>14:23:15,43</v>
      </c>
      <c r="CV78" s="186" t="str">
        <f t="shared" si="49"/>
        <v>0:0:0,0</v>
      </c>
      <c r="CW78" s="183"/>
      <c r="CX78" s="184" t="str">
        <f t="shared" si="50"/>
        <v>15:42:39,6</v>
      </c>
      <c r="CY78" s="185" t="str">
        <f t="shared" si="51"/>
        <v>15:49:7,73</v>
      </c>
      <c r="CZ78" s="186" t="str">
        <f t="shared" si="52"/>
        <v>0:0:0,0</v>
      </c>
      <c r="DA78" s="183"/>
      <c r="DB78" s="184" t="str">
        <f t="shared" si="53"/>
        <v>::,</v>
      </c>
      <c r="DC78" s="185" t="str">
        <f t="shared" si="54"/>
        <v>::,</v>
      </c>
      <c r="DD78" s="186" t="str">
        <f t="shared" si="55"/>
        <v>0:0:0,0</v>
      </c>
      <c r="DE78" s="183"/>
      <c r="DF78" s="184" t="str">
        <f t="shared" si="56"/>
        <v>0:0:0,0</v>
      </c>
      <c r="DG78" s="185" t="str">
        <f t="shared" si="57"/>
        <v>0:0:0,0</v>
      </c>
      <c r="DH78" s="186" t="str">
        <f t="shared" si="58"/>
        <v>0:0:0,0</v>
      </c>
      <c r="DI78" s="183"/>
      <c r="DJ78" s="187" t="str">
        <f t="shared" si="59"/>
        <v>0:0:0,0</v>
      </c>
    </row>
    <row r="79" spans="2:114">
      <c r="B79" s="274">
        <f>IF(ISBLANK($E79),"",VLOOKUP($E79,Teilnehmer!$B$4:$K$199,2,0))</f>
        <v>1</v>
      </c>
      <c r="C79" s="190">
        <f>IF(ISBLANK($E79),"",VLOOKUP($E79,Teilnehmer!$B$4:$K$199,3,0))</f>
        <v>4</v>
      </c>
      <c r="D79" s="181" t="str">
        <f>IF(ISBLANK($E79),"",VLOOKUP($E79,Teilnehmer!$B$4:$K$199,4,0))</f>
        <v>Schuhmacher Helmut</v>
      </c>
      <c r="E79" s="182">
        <v>70</v>
      </c>
      <c r="F79" s="257">
        <v>12</v>
      </c>
      <c r="G79" s="255">
        <v>6</v>
      </c>
      <c r="H79" s="255">
        <v>59</v>
      </c>
      <c r="I79" s="258">
        <v>82</v>
      </c>
      <c r="J79" s="257">
        <v>12</v>
      </c>
      <c r="K79" s="255">
        <v>12</v>
      </c>
      <c r="L79" s="255">
        <v>51</v>
      </c>
      <c r="M79" s="258">
        <v>57</v>
      </c>
      <c r="N79" s="257">
        <v>0</v>
      </c>
      <c r="O79" s="255">
        <v>0</v>
      </c>
      <c r="P79" s="255">
        <v>0</v>
      </c>
      <c r="Q79" s="258">
        <v>0</v>
      </c>
      <c r="R79" s="183"/>
      <c r="S79" s="254">
        <v>13</v>
      </c>
      <c r="T79" s="255">
        <v>9</v>
      </c>
      <c r="U79" s="255">
        <v>10</v>
      </c>
      <c r="V79" s="258">
        <v>28</v>
      </c>
      <c r="W79" s="257">
        <v>13</v>
      </c>
      <c r="X79" s="255">
        <v>15</v>
      </c>
      <c r="Y79" s="255">
        <v>37</v>
      </c>
      <c r="Z79" s="256">
        <v>36</v>
      </c>
      <c r="AA79" s="257">
        <v>0</v>
      </c>
      <c r="AB79" s="255">
        <v>0</v>
      </c>
      <c r="AC79" s="255">
        <v>0</v>
      </c>
      <c r="AD79" s="258">
        <v>0</v>
      </c>
      <c r="AE79" s="183"/>
      <c r="AF79" s="254">
        <v>14</v>
      </c>
      <c r="AG79" s="255">
        <v>12</v>
      </c>
      <c r="AH79" s="255">
        <v>7</v>
      </c>
      <c r="AI79" s="256">
        <v>65</v>
      </c>
      <c r="AJ79" s="257">
        <v>14</v>
      </c>
      <c r="AK79" s="255">
        <v>17</v>
      </c>
      <c r="AL79" s="255">
        <v>54</v>
      </c>
      <c r="AM79" s="256">
        <v>75</v>
      </c>
      <c r="AN79" s="257">
        <v>0</v>
      </c>
      <c r="AO79" s="255">
        <v>0</v>
      </c>
      <c r="AP79" s="255">
        <v>0</v>
      </c>
      <c r="AQ79" s="258">
        <v>0</v>
      </c>
      <c r="AR79" s="183"/>
      <c r="AS79" s="254">
        <v>15</v>
      </c>
      <c r="AT79" s="255">
        <v>42</v>
      </c>
      <c r="AU79" s="255">
        <v>56</v>
      </c>
      <c r="AV79" s="256">
        <v>70</v>
      </c>
      <c r="AW79" s="257">
        <v>15</v>
      </c>
      <c r="AX79" s="255">
        <v>49</v>
      </c>
      <c r="AY79" s="255">
        <v>16</v>
      </c>
      <c r="AZ79" s="256">
        <v>19</v>
      </c>
      <c r="BA79" s="257">
        <v>0</v>
      </c>
      <c r="BB79" s="255">
        <v>0</v>
      </c>
      <c r="BC79" s="255">
        <v>0</v>
      </c>
      <c r="BD79" s="258">
        <v>0</v>
      </c>
      <c r="BE79" s="183"/>
      <c r="BF79" s="254">
        <v>16</v>
      </c>
      <c r="BG79" s="255">
        <v>16</v>
      </c>
      <c r="BH79" s="255">
        <v>53</v>
      </c>
      <c r="BI79" s="256">
        <v>0</v>
      </c>
      <c r="BJ79" s="257">
        <v>16</v>
      </c>
      <c r="BK79" s="255">
        <v>22</v>
      </c>
      <c r="BL79" s="255">
        <v>44</v>
      </c>
      <c r="BM79" s="256">
        <v>18</v>
      </c>
      <c r="BN79" s="257">
        <v>0</v>
      </c>
      <c r="BO79" s="255">
        <v>0</v>
      </c>
      <c r="BP79" s="255">
        <v>0</v>
      </c>
      <c r="BQ79" s="258">
        <v>0</v>
      </c>
      <c r="BR79" s="183"/>
      <c r="BS79" s="254">
        <v>0</v>
      </c>
      <c r="BT79" s="255">
        <v>0</v>
      </c>
      <c r="BU79" s="255">
        <v>0</v>
      </c>
      <c r="BV79" s="256">
        <v>0</v>
      </c>
      <c r="BW79" s="257">
        <v>0</v>
      </c>
      <c r="BX79" s="255">
        <v>0</v>
      </c>
      <c r="BY79" s="255">
        <v>0</v>
      </c>
      <c r="BZ79" s="256">
        <v>0</v>
      </c>
      <c r="CA79" s="257">
        <v>0</v>
      </c>
      <c r="CB79" s="255">
        <v>0</v>
      </c>
      <c r="CC79" s="255">
        <v>0</v>
      </c>
      <c r="CD79" s="258">
        <v>0</v>
      </c>
      <c r="CE79" s="183"/>
      <c r="CF79" s="254">
        <v>0</v>
      </c>
      <c r="CG79" s="255">
        <v>0</v>
      </c>
      <c r="CH79" s="255">
        <v>0</v>
      </c>
      <c r="CI79" s="258">
        <v>0</v>
      </c>
      <c r="CK79" s="182">
        <v>70</v>
      </c>
      <c r="CL79" s="184" t="str">
        <f t="shared" si="42"/>
        <v>12:6:59,82</v>
      </c>
      <c r="CM79" s="185" t="str">
        <f t="shared" si="43"/>
        <v>12:12:51,57</v>
      </c>
      <c r="CN79" s="186" t="str">
        <f t="shared" si="41"/>
        <v>0:0:0,0</v>
      </c>
      <c r="CP79" s="184" t="str">
        <f t="shared" si="44"/>
        <v>13:9:10,28</v>
      </c>
      <c r="CQ79" s="185" t="str">
        <f t="shared" si="45"/>
        <v>13:15:37,36</v>
      </c>
      <c r="CR79" s="186" t="str">
        <f t="shared" si="46"/>
        <v>0:0:0,0</v>
      </c>
      <c r="CS79" s="183"/>
      <c r="CT79" s="184" t="str">
        <f t="shared" si="47"/>
        <v>14:12:7,65</v>
      </c>
      <c r="CU79" s="185" t="str">
        <f t="shared" si="48"/>
        <v>14:17:54,75</v>
      </c>
      <c r="CV79" s="186" t="str">
        <f t="shared" si="49"/>
        <v>0:0:0,0</v>
      </c>
      <c r="CW79" s="183"/>
      <c r="CX79" s="184" t="str">
        <f t="shared" si="50"/>
        <v>15:42:56,70</v>
      </c>
      <c r="CY79" s="185" t="str">
        <f t="shared" si="51"/>
        <v>15:49:16,19</v>
      </c>
      <c r="CZ79" s="186" t="str">
        <f t="shared" si="52"/>
        <v>0:0:0,0</v>
      </c>
      <c r="DA79" s="183"/>
      <c r="DB79" s="184" t="str">
        <f t="shared" si="53"/>
        <v>16:16:53,0</v>
      </c>
      <c r="DC79" s="185" t="str">
        <f t="shared" si="54"/>
        <v>16:22:44,18</v>
      </c>
      <c r="DD79" s="186" t="str">
        <f t="shared" si="55"/>
        <v>0:0:0,0</v>
      </c>
      <c r="DE79" s="183"/>
      <c r="DF79" s="184" t="str">
        <f t="shared" si="56"/>
        <v>0:0:0,0</v>
      </c>
      <c r="DG79" s="185" t="str">
        <f t="shared" si="57"/>
        <v>0:0:0,0</v>
      </c>
      <c r="DH79" s="186" t="str">
        <f t="shared" si="58"/>
        <v>0:0:0,0</v>
      </c>
      <c r="DI79" s="183"/>
      <c r="DJ79" s="187" t="str">
        <f t="shared" si="59"/>
        <v>0:0:0,0</v>
      </c>
    </row>
    <row r="80" spans="2:114">
      <c r="B80" s="274">
        <f>IF(ISBLANK($E80),"",VLOOKUP($E80,Teilnehmer!$B$4:$K$199,2,0))</f>
        <v>1</v>
      </c>
      <c r="C80" s="190">
        <f>IF(ISBLANK($E80),"",VLOOKUP($E80,Teilnehmer!$B$4:$K$199,3,0))</f>
        <v>4</v>
      </c>
      <c r="D80" s="181" t="str">
        <f>IF(ISBLANK($E80),"",VLOOKUP($E80,Teilnehmer!$B$4:$K$199,4,0))</f>
        <v>Ateia Tarek</v>
      </c>
      <c r="E80" s="182">
        <v>71</v>
      </c>
      <c r="F80" s="257">
        <v>12</v>
      </c>
      <c r="G80" s="255">
        <v>7</v>
      </c>
      <c r="H80" s="255">
        <v>54</v>
      </c>
      <c r="I80" s="258">
        <v>55</v>
      </c>
      <c r="J80" s="257">
        <v>12</v>
      </c>
      <c r="K80" s="255">
        <v>14</v>
      </c>
      <c r="L80" s="255">
        <v>3</v>
      </c>
      <c r="M80" s="258">
        <v>33</v>
      </c>
      <c r="N80" s="257">
        <v>0</v>
      </c>
      <c r="O80" s="255">
        <v>0</v>
      </c>
      <c r="P80" s="255">
        <v>30</v>
      </c>
      <c r="Q80" s="258">
        <v>0</v>
      </c>
      <c r="R80" s="183"/>
      <c r="S80" s="254">
        <v>13</v>
      </c>
      <c r="T80" s="255">
        <v>9</v>
      </c>
      <c r="U80" s="255">
        <v>28</v>
      </c>
      <c r="V80" s="258">
        <v>2</v>
      </c>
      <c r="W80" s="257">
        <v>13</v>
      </c>
      <c r="X80" s="255">
        <v>16</v>
      </c>
      <c r="Y80" s="255">
        <v>20</v>
      </c>
      <c r="Z80" s="256">
        <v>99</v>
      </c>
      <c r="AA80" s="257">
        <v>0</v>
      </c>
      <c r="AB80" s="255">
        <v>0</v>
      </c>
      <c r="AC80" s="255">
        <v>0</v>
      </c>
      <c r="AD80" s="258">
        <v>0</v>
      </c>
      <c r="AE80" s="183"/>
      <c r="AF80" s="254">
        <v>14</v>
      </c>
      <c r="AG80" s="255">
        <v>18</v>
      </c>
      <c r="AH80" s="255">
        <v>33</v>
      </c>
      <c r="AI80" s="256">
        <v>46</v>
      </c>
      <c r="AJ80" s="257">
        <v>14</v>
      </c>
      <c r="AK80" s="255">
        <v>24</v>
      </c>
      <c r="AL80" s="255">
        <v>36</v>
      </c>
      <c r="AM80" s="256">
        <v>36</v>
      </c>
      <c r="AN80" s="257">
        <v>0</v>
      </c>
      <c r="AO80" s="255">
        <v>0</v>
      </c>
      <c r="AP80" s="255">
        <v>0</v>
      </c>
      <c r="AQ80" s="258">
        <v>0</v>
      </c>
      <c r="AR80" s="183"/>
      <c r="AS80" s="254">
        <v>15</v>
      </c>
      <c r="AT80" s="255">
        <v>43</v>
      </c>
      <c r="AU80" s="255">
        <v>15</v>
      </c>
      <c r="AV80" s="256">
        <v>0</v>
      </c>
      <c r="AW80" s="257">
        <v>15</v>
      </c>
      <c r="AX80" s="255">
        <v>49</v>
      </c>
      <c r="AY80" s="255">
        <v>55</v>
      </c>
      <c r="AZ80" s="256">
        <v>4</v>
      </c>
      <c r="BA80" s="257">
        <v>0</v>
      </c>
      <c r="BB80" s="255">
        <v>0</v>
      </c>
      <c r="BC80" s="255">
        <v>0</v>
      </c>
      <c r="BD80" s="258">
        <v>0</v>
      </c>
      <c r="BE80" s="183"/>
      <c r="BF80" s="254">
        <v>16</v>
      </c>
      <c r="BG80" s="255">
        <v>17</v>
      </c>
      <c r="BH80" s="255">
        <v>59</v>
      </c>
      <c r="BI80" s="256">
        <v>33</v>
      </c>
      <c r="BJ80" s="257">
        <v>16</v>
      </c>
      <c r="BK80" s="255">
        <v>23</v>
      </c>
      <c r="BL80" s="255">
        <v>58</v>
      </c>
      <c r="BM80" s="256">
        <v>53</v>
      </c>
      <c r="BN80" s="257">
        <v>0</v>
      </c>
      <c r="BO80" s="255">
        <v>0</v>
      </c>
      <c r="BP80" s="255">
        <v>30</v>
      </c>
      <c r="BQ80" s="258">
        <v>0</v>
      </c>
      <c r="BR80" s="183"/>
      <c r="BS80" s="254">
        <v>0</v>
      </c>
      <c r="BT80" s="255">
        <v>0</v>
      </c>
      <c r="BU80" s="255">
        <v>0</v>
      </c>
      <c r="BV80" s="256">
        <v>0</v>
      </c>
      <c r="BW80" s="257">
        <v>0</v>
      </c>
      <c r="BX80" s="255">
        <v>0</v>
      </c>
      <c r="BY80" s="255">
        <v>0</v>
      </c>
      <c r="BZ80" s="256">
        <v>0</v>
      </c>
      <c r="CA80" s="257">
        <v>0</v>
      </c>
      <c r="CB80" s="255">
        <v>0</v>
      </c>
      <c r="CC80" s="255">
        <v>0</v>
      </c>
      <c r="CD80" s="258">
        <v>0</v>
      </c>
      <c r="CE80" s="183"/>
      <c r="CF80" s="254">
        <v>0</v>
      </c>
      <c r="CG80" s="255">
        <v>0</v>
      </c>
      <c r="CH80" s="255">
        <v>0</v>
      </c>
      <c r="CI80" s="258">
        <v>0</v>
      </c>
      <c r="CK80" s="182">
        <v>71</v>
      </c>
      <c r="CL80" s="184" t="str">
        <f t="shared" si="42"/>
        <v>12:7:54,55</v>
      </c>
      <c r="CM80" s="185" t="str">
        <f t="shared" si="43"/>
        <v>12:14:3,33</v>
      </c>
      <c r="CN80" s="186" t="str">
        <f t="shared" si="41"/>
        <v>0:0:30,0</v>
      </c>
      <c r="CP80" s="184" t="str">
        <f t="shared" si="44"/>
        <v>13:9:28,2</v>
      </c>
      <c r="CQ80" s="185" t="str">
        <f t="shared" si="45"/>
        <v>13:16:20,99</v>
      </c>
      <c r="CR80" s="186" t="str">
        <f t="shared" si="46"/>
        <v>0:0:0,0</v>
      </c>
      <c r="CS80" s="183"/>
      <c r="CT80" s="184" t="str">
        <f t="shared" si="47"/>
        <v>14:18:33,46</v>
      </c>
      <c r="CU80" s="185" t="str">
        <f t="shared" si="48"/>
        <v>14:24:36,36</v>
      </c>
      <c r="CV80" s="186" t="str">
        <f t="shared" si="49"/>
        <v>0:0:0,0</v>
      </c>
      <c r="CW80" s="183"/>
      <c r="CX80" s="184" t="str">
        <f t="shared" si="50"/>
        <v>15:43:15,0</v>
      </c>
      <c r="CY80" s="185" t="str">
        <f t="shared" si="51"/>
        <v>15:49:55,4</v>
      </c>
      <c r="CZ80" s="186" t="str">
        <f t="shared" si="52"/>
        <v>0:0:0,0</v>
      </c>
      <c r="DA80" s="183"/>
      <c r="DB80" s="184" t="str">
        <f t="shared" si="53"/>
        <v>16:17:59,33</v>
      </c>
      <c r="DC80" s="185" t="str">
        <f t="shared" si="54"/>
        <v>16:23:58,53</v>
      </c>
      <c r="DD80" s="186" t="str">
        <f t="shared" si="55"/>
        <v>0:0:30,0</v>
      </c>
      <c r="DE80" s="183"/>
      <c r="DF80" s="184" t="str">
        <f t="shared" si="56"/>
        <v>0:0:0,0</v>
      </c>
      <c r="DG80" s="185" t="str">
        <f t="shared" si="57"/>
        <v>0:0:0,0</v>
      </c>
      <c r="DH80" s="186" t="str">
        <f t="shared" si="58"/>
        <v>0:0:0,0</v>
      </c>
      <c r="DI80" s="183"/>
      <c r="DJ80" s="187" t="str">
        <f t="shared" si="59"/>
        <v>0:0:0,0</v>
      </c>
    </row>
  </sheetData>
  <mergeCells count="32">
    <mergeCell ref="CP8:CR8"/>
    <mergeCell ref="CT8:CV8"/>
    <mergeCell ref="CX8:CZ8"/>
    <mergeCell ref="AS8:BD8"/>
    <mergeCell ref="CF9:CI9"/>
    <mergeCell ref="CF8:CI8"/>
    <mergeCell ref="CA9:CD9"/>
    <mergeCell ref="BW9:BZ9"/>
    <mergeCell ref="BS9:BV9"/>
    <mergeCell ref="BS8:CD8"/>
    <mergeCell ref="CL8:CN8"/>
    <mergeCell ref="AJ9:AM9"/>
    <mergeCell ref="AN9:AQ9"/>
    <mergeCell ref="AS9:AV9"/>
    <mergeCell ref="AW9:AZ9"/>
    <mergeCell ref="BA9:BD9"/>
    <mergeCell ref="DB8:DD8"/>
    <mergeCell ref="DF8:DH8"/>
    <mergeCell ref="F9:I9"/>
    <mergeCell ref="J9:M9"/>
    <mergeCell ref="N9:Q9"/>
    <mergeCell ref="F8:Q8"/>
    <mergeCell ref="BF8:BQ8"/>
    <mergeCell ref="BF9:BI9"/>
    <mergeCell ref="BJ9:BM9"/>
    <mergeCell ref="BN9:BQ9"/>
    <mergeCell ref="S8:AD8"/>
    <mergeCell ref="S9:V9"/>
    <mergeCell ref="W9:Z9"/>
    <mergeCell ref="AA9:AD9"/>
    <mergeCell ref="AF8:AQ8"/>
    <mergeCell ref="AF9:AI9"/>
  </mergeCells>
  <conditionalFormatting sqref="C5">
    <cfRule type="cellIs" dxfId="89" priority="1161" operator="lessThan">
      <formula>0</formula>
    </cfRule>
    <cfRule type="cellIs" dxfId="88" priority="1162" operator="greaterThan">
      <formula>0</formula>
    </cfRule>
  </conditionalFormatting>
  <conditionalFormatting sqref="E6:CI6">
    <cfRule type="cellIs" dxfId="87" priority="1111" operator="greaterThan">
      <formula>0</formula>
    </cfRule>
  </conditionalFormatting>
  <conditionalFormatting sqref="J11:J18 N11:N80 W11:W13 AA11:AA80 AF11:AF13 AJ11:AJ13 AS11:AS13 AW11:AW13 BA11:BA80 BF11:BF13 BJ11:BJ13 BN11:BN80 CA11:CA80 CF11:CF80 F11:F18 S11:S13 J20:J39 S20:S31 W20:W31 AJ20:AJ27 AF20:AF31 AW20 AS20:AS27 BJ20 BF20 S15:S18 W16:W18 AJ16:AJ18 AF16:AF18 AW16:AW18 AS16:AS18 AJ29:AJ31 AS29:AS31 AW29:AW31 W33:W38 AJ34:AJ36 AW35:AW36 AJ38 AW38 AZ37 J41:J45 M40 W41:W45 Z39:Z40 AJ41:AJ45 AM39:AM40 AW41:AW45 AZ39:AZ40 J47:J52 M46 W47:W52 Z46 AJ47:AJ52 AM46 AW47:AW52 AZ46 J54:J80 F20:F80 M53 W54:W58 Z53 AJ54:AJ58 AM53 AW54:AW58 AZ53 S33:S80 Z59 AM59 AW60:AW61 AZ59 AZ62 W60:W80 AF34:AF75 AJ60:AJ75 AS35:AS75 AW63:AW75 AJ77:AJ80 AF77:AF80 AW77:AW80 AS77:AS80 AN11:AN80 BS11:BS80 BW11:BW80 BJ16:BJ18 BF16:BF18 BF22:BF27 BJ22:BJ27 AW22:AW27 BJ29:BJ31 BF29:BF31 BF35:BF36 BJ35:BJ36 BJ41:BJ45 BF41:BF45 BF47:BF52 BJ47:BJ52 BJ54:BJ58 BF54:BF58 BF60:BF61 BJ60:BJ61 BJ64:BJ66 BF64:BF66 BF68:BF75 BJ68:BJ75 BJ77 BF77 BF79:BF80 BJ79:BJ80">
    <cfRule type="cellIs" dxfId="86" priority="747" operator="greaterThan">
      <formula>23</formula>
    </cfRule>
  </conditionalFormatting>
  <conditionalFormatting sqref="K11:L18 O11:P80 X11:Y13 AB11:AC80 AG11:AH13 AK11:AL13 AO11:AP80 AT11:AU13 AX11:AY13 BB11:BC80 BG11:BH13 BK11:BL13 BO11:BP80 CB11:CC80 CG11:CH80 G11:H18 G20:G39 G78:H80 G54:G78 H20:H23 H25:H39 G47:H52 T11:U13 K20:L39 T20:U31 X20:Y31 AK20:AL27 AG20:AH31 AX20:AY20 AT20:AU27 BK20:BL20 BG20:BH20 T15:U18 X16:Y18 AK16:AL18 AG16:AH18 AX16:AY18 AT16:AU18 AK29:AL31 AT29:AU31 AX29:AY31 X33:Y38 T33:U38 AK34:AL36 AG34:AH36 AX35:AY36 AT35:AU36 AG38:AH38 AK38:AL38 AT38:AU38 AX38:AY38 K41:L45 G41:H45 T41:U45 X41:Y45 AK41:AL45 AG41:AH45 AX41:AY45 AT41:AU45 K47:L52 X47:Y52 T47:U52 AG47:AH52 AK47:AL52 AT47:AU52 AX47:AY52 K54:L80 H54:H77 T54:U58 X54:Y58 AK54:AL58 AG54:AH58 AX54:AY58 AT54:AU58 X60:Y66 T60:U80 AG60:AH66 AK60:AL66 AT60:AU61 AX60:AY61 AX64:AY66 AT63:AU66 X68:Y80 AK68:AL75 AG68:AH75 AT68:AU75 AX68:AY75 AG77:AH80 AK77:AL80 AX77:AY80 AT77:AU80 BT11:BU80 BX11:BY80 BK16:BL18 BG16:BH18 BG22:BH27 BK22:BL27 AX22:AY27 BK29:BL31 BG29:BH31 BG35:BH36 BK35:BL36 BK41:BL45 BG41:BH45 BG47:BH52 BK47:BL52 BK54:BL58 BG54:BH58 BG60:BH61 BK60:BL61 BK64:BL66 BG64:BH66 BG68:BH75 BK68:BL75 BK77:BL77 BG77:BH77 BG79:BH80 BK79:BL80">
    <cfRule type="cellIs" dxfId="85" priority="745" operator="greaterThan">
      <formula>59</formula>
    </cfRule>
  </conditionalFormatting>
  <conditionalFormatting sqref="M11:M18 Q11:Q80 Z11:Z13 AD11:AD80 AI11:AI13 AM11:AM13 AQ11:AQ80 AV11:AV13 AZ11:AZ13 BD11:BD80 BI11:BI13 BM11:BM13 BQ11:BQ80 CD11:CD80 CI11:CI80 I11:I18 I20:I39 I41:I45 I47:I52 I54:I80 V11:V13 M20:M39 V20:V31 Z20:Z31 AM20:AM27 AI20:AI31 AZ20 AV20:AV27 BM20 BI20 V15:V18 Z16:Z18 AM16:AM18 AI16:AI18 AZ16:AZ18 AV16:AV18 AM29:AM31 AV29:AV31 AZ29:AZ31 Z33:Z38 V33:V38 AM34:AM36 AI34:AI36 AZ35:AZ36 AV35:AV36 AI38 AM38 AV38 AZ38 M41:M45 V41:V45 Z41:Z45 AM41:AM45 AI41:AI45 AZ41:AZ45 AV41:AV45 M47:M52 Z47:Z52 V47:V52 AI47:AI52 AM47:AM52 AV47:AV52 AZ47:AZ52 M54:M80 V54:V58 Z54:Z58 AM54:AM58 AI54:AI58 AZ54:AZ58 AV54:AV58 Z60:Z66 V60:V80 AI60:AI66 AM60:AM66 AV60:AV61 AZ60:AZ61 AZ64:AZ66 AV63:AV66 Z68:Z80 AM68:AM75 AI68:AI75 AV68:AV75 AZ68:AZ75 AI77:AI80 AM77:AM80 AZ77:AZ80 AV77:AV80 BV11:BV80 BZ11:BZ80 BM16:BM18 BI16:BI18 BI22:BI27 BM22:BM27 AZ22:AZ27 BM29:BM31 BI29:BI31 BI35:BI36 BM35:BM36 BM41:BM45 BI41:BI45 BI47:BI52 BM47:BM52 BM54:BM58 BI54:BI58 BI60:BI61 BM60:BM61 BM64:BM66 BI64:BI66 BI68:BI75 BM68:BM75 BM77 BI77 BI79:BI80 BM79:BM80">
    <cfRule type="cellIs" dxfId="84" priority="744" operator="greaterThan">
      <formula>99</formula>
    </cfRule>
  </conditionalFormatting>
  <conditionalFormatting sqref="CK6">
    <cfRule type="cellIs" dxfId="83" priority="1163" operator="greaterThan">
      <formula>0</formula>
    </cfRule>
  </conditionalFormatting>
  <conditionalFormatting sqref="CO6">
    <cfRule type="cellIs" dxfId="82" priority="1201" operator="greaterThan">
      <formula>0</formula>
    </cfRule>
  </conditionalFormatting>
  <conditionalFormatting sqref="CS6">
    <cfRule type="cellIs" dxfId="81" priority="1200" operator="greaterThan">
      <formula>0</formula>
    </cfRule>
  </conditionalFormatting>
  <conditionalFormatting sqref="CW6">
    <cfRule type="cellIs" dxfId="80" priority="1199" operator="greaterThan">
      <formula>0</formula>
    </cfRule>
  </conditionalFormatting>
  <conditionalFormatting sqref="DA6">
    <cfRule type="cellIs" dxfId="79" priority="1102" operator="greaterThan">
      <formula>0</formula>
    </cfRule>
  </conditionalFormatting>
  <conditionalFormatting sqref="DE6">
    <cfRule type="cellIs" dxfId="78" priority="1101" operator="greaterThan">
      <formula>0</formula>
    </cfRule>
  </conditionalFormatting>
  <conditionalFormatting sqref="DI6">
    <cfRule type="cellIs" dxfId="77" priority="1198" operator="greaterThan">
      <formula>0</formula>
    </cfRule>
  </conditionalFormatting>
  <conditionalFormatting sqref="E11:E80">
    <cfRule type="duplicateValues" dxfId="76" priority="1434"/>
  </conditionalFormatting>
  <conditionalFormatting sqref="CK11:CK80">
    <cfRule type="duplicateValues" dxfId="75" priority="1"/>
  </conditionalFormatting>
  <pageMargins left="0.70866141732283472" right="0.70866141732283472" top="0.78740157480314965" bottom="0.78740157480314965" header="0.31496062992125984" footer="0.31496062992125984"/>
  <pageSetup paperSize="9" scale="41" orientation="landscape" r:id="rId1"/>
  <rowBreaks count="1" manualBreakCount="1">
    <brk id="58"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26C85-7DC6-452B-A066-93766210959C}">
  <sheetPr codeName="Tabelle2">
    <tabColor theme="0" tint="-0.249977111117893"/>
    <pageSetUpPr fitToPage="1"/>
  </sheetPr>
  <dimension ref="B1:AV77"/>
  <sheetViews>
    <sheetView showGridLines="0" zoomScale="80" zoomScaleNormal="80" workbookViewId="0">
      <pane xSplit="5" ySplit="7" topLeftCell="Z8" activePane="bottomRight" state="frozen"/>
      <selection pane="bottomRight" activeCell="AV16" sqref="AV16"/>
      <selection pane="bottomLeft" activeCell="S22" sqref="S22"/>
      <selection pane="topRight" activeCell="S22" sqref="S22"/>
    </sheetView>
  </sheetViews>
  <sheetFormatPr defaultColWidth="11.42578125" defaultRowHeight="15.75"/>
  <cols>
    <col min="1" max="1" width="1.7109375" style="5" customWidth="1"/>
    <col min="2" max="2" width="6.5703125" style="5" customWidth="1"/>
    <col min="3" max="3" width="8.140625" style="5" customWidth="1"/>
    <col min="4" max="4" width="7.28515625" style="5" bestFit="1" customWidth="1"/>
    <col min="5" max="5" width="16.42578125" style="13" bestFit="1" customWidth="1"/>
    <col min="6" max="6" width="7" style="5" bestFit="1" customWidth="1"/>
    <col min="7" max="7" width="17.5703125" style="5" bestFit="1" customWidth="1"/>
    <col min="8" max="8" width="15.7109375" style="13" customWidth="1"/>
    <col min="9" max="9" width="7" style="5" bestFit="1" customWidth="1"/>
    <col min="10" max="10" width="17.5703125" style="5" bestFit="1" customWidth="1"/>
    <col min="11" max="11" width="9.7109375" style="5" customWidth="1"/>
    <col min="12" max="12" width="1.28515625" style="5" customWidth="1"/>
    <col min="13" max="13" width="5.140625" style="225" bestFit="1" customWidth="1"/>
    <col min="14" max="15" width="12.42578125" style="5" customWidth="1"/>
    <col min="16" max="16" width="14.28515625" style="126" bestFit="1" customWidth="1"/>
    <col min="17" max="17" width="12.42578125" style="129" customWidth="1"/>
    <col min="18" max="18" width="6.42578125" style="5" bestFit="1" customWidth="1"/>
    <col min="19" max="20" width="13.85546875" style="5" customWidth="1"/>
    <col min="21" max="21" width="13.85546875" style="126" customWidth="1"/>
    <col min="22" max="22" width="13.85546875" style="129" customWidth="1"/>
    <col min="23" max="23" width="3" style="5" bestFit="1" customWidth="1"/>
    <col min="24" max="25" width="15" style="5" customWidth="1"/>
    <col min="26" max="26" width="15" style="126" customWidth="1"/>
    <col min="27" max="27" width="15" style="129" customWidth="1"/>
    <col min="28" max="28" width="3.7109375" style="5" bestFit="1" customWidth="1"/>
    <col min="29" max="29" width="12.42578125" style="5" customWidth="1"/>
    <col min="30" max="30" width="11.42578125" style="5" bestFit="1" customWidth="1"/>
    <col min="31" max="31" width="14.28515625" style="126" bestFit="1" customWidth="1"/>
    <col min="32" max="32" width="10.7109375" style="129" bestFit="1" customWidth="1"/>
    <col min="33" max="33" width="3.7109375" style="5" bestFit="1" customWidth="1"/>
    <col min="34" max="34" width="10.7109375" style="5" customWidth="1"/>
    <col min="35" max="35" width="11.42578125" style="5" bestFit="1" customWidth="1"/>
    <col min="36" max="36" width="14.28515625" style="126" bestFit="1" customWidth="1"/>
    <col min="37" max="37" width="10.7109375" style="129" bestFit="1" customWidth="1"/>
    <col min="38" max="38" width="3.7109375" style="5" bestFit="1" customWidth="1"/>
    <col min="39" max="39" width="10.7109375" style="5" hidden="1" customWidth="1"/>
    <col min="40" max="40" width="11" style="5" hidden="1" customWidth="1"/>
    <col min="41" max="41" width="14.28515625" style="126" hidden="1" customWidth="1"/>
    <col min="42" max="42" width="10.7109375" style="129" hidden="1" customWidth="1"/>
    <col min="43" max="43" width="3.7109375" style="5" hidden="1" customWidth="1"/>
    <col min="44" max="44" width="10.5703125" style="129" bestFit="1" customWidth="1"/>
    <col min="45" max="45" width="1.28515625" style="5" customWidth="1"/>
    <col min="46" max="46" width="14.28515625" style="126" bestFit="1" customWidth="1"/>
    <col min="47" max="47" width="11.42578125" style="129" bestFit="1" customWidth="1"/>
    <col min="48" max="48" width="14.28515625" style="220" bestFit="1" customWidth="1"/>
    <col min="49" max="16384" width="11.42578125" style="5"/>
  </cols>
  <sheetData>
    <row r="1" spans="2:48" s="7" customFormat="1" ht="23.25" customHeight="1">
      <c r="B1" s="71" t="str">
        <f>Teilnehmer!B1</f>
        <v>20. Fürst von Wrede Rallye 2024</v>
      </c>
      <c r="C1" s="71"/>
      <c r="D1" s="71"/>
      <c r="E1" s="71"/>
      <c r="F1" s="71"/>
      <c r="G1" s="71"/>
      <c r="H1" s="71"/>
      <c r="I1" s="71"/>
      <c r="J1" s="71"/>
      <c r="K1" s="71"/>
      <c r="L1" s="5"/>
      <c r="M1" s="225"/>
      <c r="N1" s="15"/>
      <c r="P1" s="125"/>
      <c r="Q1" s="128"/>
      <c r="R1" s="335" t="s">
        <v>305</v>
      </c>
      <c r="S1" s="15"/>
      <c r="U1" s="125"/>
      <c r="V1" s="128"/>
      <c r="W1" s="335" t="s">
        <v>305</v>
      </c>
      <c r="X1" s="15"/>
      <c r="Z1" s="125"/>
      <c r="AA1" s="128"/>
      <c r="AB1" s="335" t="s">
        <v>305</v>
      </c>
      <c r="AC1" s="15"/>
      <c r="AE1" s="125"/>
      <c r="AF1" s="128"/>
      <c r="AG1" s="335" t="s">
        <v>305</v>
      </c>
      <c r="AH1" s="15"/>
      <c r="AJ1" s="125"/>
      <c r="AK1" s="128"/>
      <c r="AL1" s="335" t="s">
        <v>305</v>
      </c>
      <c r="AM1" s="15"/>
      <c r="AO1" s="125"/>
      <c r="AP1" s="128"/>
      <c r="AQ1" s="335" t="s">
        <v>305</v>
      </c>
      <c r="AR1" s="128"/>
      <c r="AS1" s="5"/>
      <c r="AT1" s="125"/>
      <c r="AU1" s="128"/>
      <c r="AV1" s="219"/>
    </row>
    <row r="2" spans="2:48" ht="20.25" customHeight="1">
      <c r="E2" s="5"/>
      <c r="H2" s="5"/>
      <c r="I2" s="15"/>
      <c r="J2" s="15"/>
      <c r="K2" s="15"/>
      <c r="R2" s="335"/>
      <c r="S2" s="63"/>
      <c r="W2" s="335"/>
      <c r="X2" s="63"/>
      <c r="AB2" s="335"/>
      <c r="AC2" s="63"/>
      <c r="AG2" s="335"/>
      <c r="AH2" s="63"/>
      <c r="AL2" s="335"/>
      <c r="AM2" s="63"/>
      <c r="AQ2" s="335"/>
    </row>
    <row r="3" spans="2:48" ht="20.25">
      <c r="B3" s="81" t="s">
        <v>306</v>
      </c>
      <c r="E3" s="8"/>
      <c r="G3" s="101" t="s">
        <v>58</v>
      </c>
      <c r="H3" s="8"/>
      <c r="I3" s="15"/>
      <c r="J3" s="15"/>
      <c r="K3" s="15"/>
      <c r="R3" s="335"/>
      <c r="S3" s="64"/>
      <c r="T3" s="64"/>
      <c r="U3" s="127"/>
      <c r="V3" s="133"/>
      <c r="W3" s="335"/>
      <c r="X3" s="64"/>
      <c r="Y3" s="64"/>
      <c r="Z3" s="127"/>
      <c r="AA3" s="133"/>
      <c r="AB3" s="335"/>
      <c r="AC3" s="64"/>
      <c r="AD3" s="64"/>
      <c r="AE3" s="127"/>
      <c r="AF3" s="133"/>
      <c r="AG3" s="335"/>
      <c r="AH3" s="64"/>
      <c r="AI3" s="64"/>
      <c r="AJ3" s="127"/>
      <c r="AK3" s="133"/>
      <c r="AL3" s="335"/>
      <c r="AM3" s="64"/>
      <c r="AN3" s="64"/>
      <c r="AO3" s="127"/>
      <c r="AP3" s="133"/>
      <c r="AQ3" s="335"/>
      <c r="AR3" s="133"/>
      <c r="AS3" s="64"/>
      <c r="AT3" s="127"/>
      <c r="AU3" s="133"/>
      <c r="AV3" s="221"/>
    </row>
    <row r="4" spans="2:48" ht="16.5" thickBot="1">
      <c r="B4" s="10">
        <f>COUNTA(B8:B199)</f>
        <v>70</v>
      </c>
      <c r="C4" s="5" t="s">
        <v>282</v>
      </c>
      <c r="G4" s="11"/>
      <c r="H4" s="8"/>
      <c r="I4" s="15"/>
      <c r="J4" s="15"/>
      <c r="K4" s="15"/>
      <c r="N4" s="97" t="s">
        <v>307</v>
      </c>
      <c r="O4" s="314">
        <v>1.0416666666666666E-2</v>
      </c>
      <c r="R4" s="335"/>
      <c r="S4" s="94" t="s">
        <v>307</v>
      </c>
      <c r="T4" s="314">
        <v>1.0416666666666666E-2</v>
      </c>
      <c r="U4" s="127"/>
      <c r="V4" s="133"/>
      <c r="W4" s="335"/>
      <c r="X4" s="94" t="s">
        <v>307</v>
      </c>
      <c r="Y4" s="314">
        <v>1.0416666666666666E-2</v>
      </c>
      <c r="Z4" s="127"/>
      <c r="AA4" s="133"/>
      <c r="AB4" s="335"/>
      <c r="AC4" s="94" t="s">
        <v>307</v>
      </c>
      <c r="AD4" s="314">
        <v>1.0416666666666666E-2</v>
      </c>
      <c r="AE4" s="127"/>
      <c r="AF4" s="133"/>
      <c r="AG4" s="335"/>
      <c r="AH4" s="94" t="s">
        <v>307</v>
      </c>
      <c r="AI4" s="314">
        <v>1.0416666666666666E-2</v>
      </c>
      <c r="AJ4" s="127"/>
      <c r="AK4" s="133"/>
      <c r="AL4" s="335"/>
      <c r="AM4" s="94" t="s">
        <v>307</v>
      </c>
      <c r="AN4" s="96">
        <v>1.2499999999999999E-2</v>
      </c>
      <c r="AO4" s="127"/>
      <c r="AP4" s="133"/>
      <c r="AQ4" s="335"/>
      <c r="AR4" s="133"/>
      <c r="AS4" s="64"/>
      <c r="AT4" s="127"/>
      <c r="AU4" s="133"/>
      <c r="AV4" s="221"/>
    </row>
    <row r="5" spans="2:48" ht="21" thickBot="1">
      <c r="B5" s="100">
        <f>B4-Teilnehmer!P15</f>
        <v>0</v>
      </c>
      <c r="G5" s="15"/>
      <c r="H5" s="15"/>
      <c r="I5" s="15"/>
      <c r="J5" s="15"/>
      <c r="K5" s="15"/>
      <c r="N5" s="336" t="s">
        <v>288</v>
      </c>
      <c r="O5" s="337"/>
      <c r="P5" s="337"/>
      <c r="Q5" s="338"/>
      <c r="S5" s="336" t="s">
        <v>289</v>
      </c>
      <c r="T5" s="337"/>
      <c r="U5" s="337"/>
      <c r="V5" s="338"/>
      <c r="X5" s="336" t="s">
        <v>290</v>
      </c>
      <c r="Y5" s="337"/>
      <c r="Z5" s="337"/>
      <c r="AA5" s="338"/>
      <c r="AC5" s="336" t="s">
        <v>291</v>
      </c>
      <c r="AD5" s="337"/>
      <c r="AE5" s="337"/>
      <c r="AF5" s="338"/>
      <c r="AH5" s="336" t="s">
        <v>292</v>
      </c>
      <c r="AI5" s="337"/>
      <c r="AJ5" s="337"/>
      <c r="AK5" s="338"/>
      <c r="AM5" s="339" t="s">
        <v>293</v>
      </c>
      <c r="AN5" s="340"/>
      <c r="AO5" s="340"/>
      <c r="AP5" s="341"/>
      <c r="AR5" s="134" t="s">
        <v>294</v>
      </c>
      <c r="AT5" s="332" t="s">
        <v>308</v>
      </c>
      <c r="AU5" s="333"/>
      <c r="AV5" s="334"/>
    </row>
    <row r="6" spans="2:48" ht="27.75" customHeight="1" thickBot="1">
      <c r="L6" s="80"/>
      <c r="M6" s="342" t="s">
        <v>299</v>
      </c>
      <c r="N6" s="95" t="s">
        <v>295</v>
      </c>
      <c r="O6" s="90" t="s">
        <v>298</v>
      </c>
      <c r="P6" s="277" t="s">
        <v>309</v>
      </c>
      <c r="Q6" s="130" t="s">
        <v>310</v>
      </c>
      <c r="R6" s="80"/>
      <c r="S6" s="95" t="s">
        <v>295</v>
      </c>
      <c r="T6" s="90" t="s">
        <v>298</v>
      </c>
      <c r="U6" s="277" t="s">
        <v>309</v>
      </c>
      <c r="V6" s="130" t="s">
        <v>310</v>
      </c>
      <c r="W6" s="80"/>
      <c r="X6" s="95" t="s">
        <v>295</v>
      </c>
      <c r="Y6" s="90" t="s">
        <v>298</v>
      </c>
      <c r="Z6" s="277" t="s">
        <v>309</v>
      </c>
      <c r="AA6" s="130" t="s">
        <v>310</v>
      </c>
      <c r="AB6" s="80"/>
      <c r="AC6" s="95" t="s">
        <v>295</v>
      </c>
      <c r="AD6" s="90" t="s">
        <v>298</v>
      </c>
      <c r="AE6" s="277" t="s">
        <v>309</v>
      </c>
      <c r="AF6" s="130" t="s">
        <v>310</v>
      </c>
      <c r="AG6" s="80"/>
      <c r="AH6" s="95" t="s">
        <v>295</v>
      </c>
      <c r="AI6" s="90" t="s">
        <v>298</v>
      </c>
      <c r="AJ6" s="277" t="s">
        <v>309</v>
      </c>
      <c r="AK6" s="130" t="s">
        <v>310</v>
      </c>
      <c r="AL6" s="80"/>
      <c r="AM6" s="95" t="s">
        <v>295</v>
      </c>
      <c r="AN6" s="90" t="s">
        <v>298</v>
      </c>
      <c r="AO6" s="277" t="s">
        <v>309</v>
      </c>
      <c r="AP6" s="130" t="s">
        <v>310</v>
      </c>
      <c r="AQ6" s="80"/>
      <c r="AR6" s="130" t="s">
        <v>310</v>
      </c>
      <c r="AS6" s="80"/>
      <c r="AT6" s="277" t="s">
        <v>309</v>
      </c>
      <c r="AU6" s="137" t="s">
        <v>310</v>
      </c>
      <c r="AV6" s="222" t="s">
        <v>311</v>
      </c>
    </row>
    <row r="7" spans="2:48" ht="25.5">
      <c r="B7" s="44" t="s">
        <v>299</v>
      </c>
      <c r="C7" s="45" t="s">
        <v>2</v>
      </c>
      <c r="D7" s="45" t="s">
        <v>3</v>
      </c>
      <c r="E7" s="45" t="s">
        <v>4</v>
      </c>
      <c r="F7" s="47" t="s">
        <v>5</v>
      </c>
      <c r="G7" s="46" t="s">
        <v>6</v>
      </c>
      <c r="H7" s="46" t="s">
        <v>7</v>
      </c>
      <c r="I7" s="47" t="s">
        <v>5</v>
      </c>
      <c r="J7" s="46" t="s">
        <v>6</v>
      </c>
      <c r="K7" s="48" t="s">
        <v>8</v>
      </c>
      <c r="M7" s="342"/>
      <c r="N7" s="91" t="s">
        <v>304</v>
      </c>
      <c r="O7" s="92" t="s">
        <v>304</v>
      </c>
      <c r="P7" s="278" t="s">
        <v>304</v>
      </c>
      <c r="Q7" s="131" t="s">
        <v>304</v>
      </c>
      <c r="S7" s="91" t="s">
        <v>304</v>
      </c>
      <c r="T7" s="92" t="s">
        <v>304</v>
      </c>
      <c r="U7" s="278" t="s">
        <v>304</v>
      </c>
      <c r="V7" s="131" t="s">
        <v>304</v>
      </c>
      <c r="X7" s="91" t="s">
        <v>304</v>
      </c>
      <c r="Y7" s="92" t="s">
        <v>304</v>
      </c>
      <c r="Z7" s="278" t="s">
        <v>304</v>
      </c>
      <c r="AA7" s="131" t="s">
        <v>304</v>
      </c>
      <c r="AC7" s="91" t="s">
        <v>304</v>
      </c>
      <c r="AD7" s="92" t="s">
        <v>304</v>
      </c>
      <c r="AE7" s="278" t="s">
        <v>304</v>
      </c>
      <c r="AF7" s="131" t="s">
        <v>304</v>
      </c>
      <c r="AH7" s="91" t="s">
        <v>304</v>
      </c>
      <c r="AI7" s="92" t="s">
        <v>304</v>
      </c>
      <c r="AJ7" s="278" t="s">
        <v>304</v>
      </c>
      <c r="AK7" s="131" t="s">
        <v>304</v>
      </c>
      <c r="AM7" s="91" t="s">
        <v>304</v>
      </c>
      <c r="AN7" s="92" t="s">
        <v>304</v>
      </c>
      <c r="AO7" s="278" t="s">
        <v>304</v>
      </c>
      <c r="AP7" s="131" t="s">
        <v>304</v>
      </c>
      <c r="AR7" s="135" t="s">
        <v>304</v>
      </c>
      <c r="AT7" s="278" t="s">
        <v>304</v>
      </c>
      <c r="AU7" s="138" t="s">
        <v>304</v>
      </c>
      <c r="AV7" s="223" t="s">
        <v>304</v>
      </c>
    </row>
    <row r="8" spans="2:48" s="214" customFormat="1" ht="27.75" customHeight="1">
      <c r="B8" s="118">
        <v>1</v>
      </c>
      <c r="C8" s="275">
        <f>IF(ISBLANK($B8),"",VLOOKUP($B8,Teilnehmer!$B$4:$K$199,2,0))</f>
        <v>3</v>
      </c>
      <c r="D8" s="276">
        <f>IF(ISBLANK($B8),"",VLOOKUP($B8,Teilnehmer!$B$4:$K$199,3,0))</f>
        <v>11</v>
      </c>
      <c r="E8" s="93" t="str">
        <f>IF(ISBLANK($B8),"",VLOOKUP($B8,Teilnehmer!$B$4:$K$199,4,0))</f>
        <v>Brunken Wilfried</v>
      </c>
      <c r="F8" s="285">
        <f>IF(ISBLANK($B8),"",VLOOKUP($B8,Teilnehmer!$B$4:$K$199,5,0))</f>
        <v>15828</v>
      </c>
      <c r="G8" s="288" t="str">
        <f>IF(ISBLANK($B8),"",VLOOKUP($B8,Teilnehmer!$B$4:$K$199,6,0))</f>
        <v>MSC Ramberg</v>
      </c>
      <c r="H8" s="93" t="str">
        <f>IF(ISBLANK($B8),"",VLOOKUP($B8,Teilnehmer!$B$4:$K$199,7,0))</f>
        <v>Dietrich Manuela</v>
      </c>
      <c r="I8" s="285">
        <f>IF(ISBLANK($B8),"",VLOOKUP($B8,Teilnehmer!$B$4:$K$199,8,0))</f>
        <v>15827</v>
      </c>
      <c r="J8" s="289" t="str">
        <f>IF(ISBLANK($B8),"",VLOOKUP($B8,Teilnehmer!$B$4:$K$199,9,0))</f>
        <v>MSC Ramberg</v>
      </c>
      <c r="K8" s="180" t="str">
        <f>IF(ISBLANK($B8),"",VLOOKUP($B8,Teilnehmer!$B$4:$K$199,10,0))</f>
        <v>Mitsubishi EVO X</v>
      </c>
      <c r="L8" s="212"/>
      <c r="M8" s="226">
        <f>IF(ISBLANK($B8),"",B8)</f>
        <v>1</v>
      </c>
      <c r="N8" s="115" t="str">
        <f>IF(ISBLANK($B8),"",VLOOKUP($B8,'Eingabe Zeiten'!CK:DJ,2,0))</f>
        <v>10:55:9,81</v>
      </c>
      <c r="O8" s="116" t="str">
        <f>IF(ISBLANK($B8),"",VLOOKUP($B8,'Eingabe Zeiten'!CK:DJ,3,0))</f>
        <v>10:59:58,5</v>
      </c>
      <c r="P8" s="279">
        <f>IF(ISBLANK($B8),"",O8-N8)</f>
        <v>3.341319444444435E-3</v>
      </c>
      <c r="Q8" s="132" t="str">
        <f>IF(ISBLANK($B8),"",VLOOKUP($B8,'Eingabe Zeiten'!CK:DJ,4,0))</f>
        <v>0:0:0,0</v>
      </c>
      <c r="R8" s="117" t="str">
        <f>IF(OR(ISBLANK($B8),P8="ADW"),"",IF(P8&gt;$O$4,"X",""))</f>
        <v/>
      </c>
      <c r="S8" s="115" t="str">
        <f>IF(ISBLANK($B8),"",VLOOKUP($B8,'Eingabe Zeiten'!CK:DJ,6,0))</f>
        <v>11:31:59,85</v>
      </c>
      <c r="T8" s="116" t="str">
        <f>IF(ISBLANK($B8),"",VLOOKUP($B8,'Eingabe Zeiten'!CK:DJ,7,0))</f>
        <v>11:37:53,85</v>
      </c>
      <c r="U8" s="279">
        <f>IF(ISBLANK($B8),"",T8-S8)</f>
        <v>4.0972222222222521E-3</v>
      </c>
      <c r="V8" s="132" t="str">
        <f>IF(ISBLANK($B8),"",VLOOKUP($B8,'Eingabe Zeiten'!CK:DJ,8,0))</f>
        <v>0:0:0,0</v>
      </c>
      <c r="W8" s="117" t="str">
        <f>IF(OR(ISBLANK($B8),U8="ADW"),"",IF(U8&gt;$T$4,"X",""))</f>
        <v/>
      </c>
      <c r="X8" s="115" t="str">
        <f>IF(ISBLANK($B8),"",VLOOKUP($B8,'Eingabe Zeiten'!CK:DJ,10,0))</f>
        <v>13:18:52,87</v>
      </c>
      <c r="Y8" s="116" t="str">
        <f>IF(ISBLANK($B8),"",VLOOKUP($B8,'Eingabe Zeiten'!CK:DJ,11,0))</f>
        <v>13:23:37,64</v>
      </c>
      <c r="Z8" s="279">
        <f>IF(ISBLANK($B8),"",Y8-X8)</f>
        <v>3.2959490740740449E-3</v>
      </c>
      <c r="AA8" s="132" t="str">
        <f>IF(ISBLANK($B8),"",VLOOKUP($B8,'Eingabe Zeiten'!CK:DJ,12,0))</f>
        <v>0:0:0,0</v>
      </c>
      <c r="AB8" s="117" t="str">
        <f>IF(OR(ISBLANK($B8),Z8="ADW"),"",IF(Z8&gt;$Y$4,"X",""))</f>
        <v/>
      </c>
      <c r="AC8" s="115" t="str">
        <f>IF(ISBLANK($B8),"",VLOOKUP($B8,'Eingabe Zeiten'!CK:DJ,14,0))</f>
        <v>14:20:3,51</v>
      </c>
      <c r="AD8" s="116" t="str">
        <f>IF(ISBLANK($B8),"",VLOOKUP($B8,'Eingabe Zeiten'!CK:DJ,15,0))</f>
        <v>14:25:38,34</v>
      </c>
      <c r="AE8" s="279">
        <f>IF(ISBLANK($B8),"",AD8-AC8)</f>
        <v>3.8753472222221585E-3</v>
      </c>
      <c r="AF8" s="132" t="str">
        <f>IF(ISBLANK($B8),"",VLOOKUP($B8,'Eingabe Zeiten'!CK:DJ,16,0))</f>
        <v>0:0:0,0</v>
      </c>
      <c r="AG8" s="117" t="str">
        <f>IF(OR(ISBLANK($B8),AE8="ADW"),"",IF(AE8&gt;$AD$4,"X",""))</f>
        <v/>
      </c>
      <c r="AH8" s="115" t="str">
        <f>IF(ISBLANK($B8),"",VLOOKUP($B8,'Eingabe Zeiten'!CK:DJ,18,0))</f>
        <v>14:59:0,22</v>
      </c>
      <c r="AI8" s="116" t="str">
        <f>IF(ISBLANK($B8),"",VLOOKUP($B8,'Eingabe Zeiten'!CK:DJ,19,0))</f>
        <v>15:3:42,87</v>
      </c>
      <c r="AJ8" s="279">
        <f>IF(ISBLANK($B8),"",AI8-AH8)</f>
        <v>3.2714120370370692E-3</v>
      </c>
      <c r="AK8" s="132" t="str">
        <f>IF(ISBLANK($B8),"",VLOOKUP($B8,'Eingabe Zeiten'!CK:DJ,20,0))</f>
        <v>0:0:0,0</v>
      </c>
      <c r="AL8" s="117" t="str">
        <f>IF(OR(ISBLANK($B8),AJ8="ADW"),"",IF(AJ8&gt;$AI$4,"X",""))</f>
        <v/>
      </c>
      <c r="AM8" s="115" t="str">
        <f>IF(ISBLANK($B8),"",VLOOKUP($B8,'Eingabe Zeiten'!CK:DJ,22,0))</f>
        <v>0:0:0,0</v>
      </c>
      <c r="AN8" s="116" t="str">
        <f>IF(ISBLANK($B8),"",VLOOKUP($B8,'Eingabe Zeiten'!CK:DJ,23,0))</f>
        <v>0:0:0,0</v>
      </c>
      <c r="AO8" s="279">
        <f>IF(ISBLANK($B8),"",AN8-AM8)</f>
        <v>0</v>
      </c>
      <c r="AP8" s="132" t="str">
        <f>IF(ISBLANK($B8),"",VLOOKUP($B8,'Eingabe Zeiten'!CK:DJ,24,0))</f>
        <v>0:0:0,0</v>
      </c>
      <c r="AQ8" s="117" t="str">
        <f>IF(OR(ISBLANK($B8),AO8="ADW"),"",IF(AO8&gt;$AN$4,"X",""))</f>
        <v/>
      </c>
      <c r="AR8" s="136" t="str">
        <f>IF(ISBLANK($B8),"",VLOOKUP($B8,'Eingabe Zeiten'!CK:DJ,26,0))</f>
        <v>0:0:0,0</v>
      </c>
      <c r="AS8" s="213"/>
      <c r="AT8" s="279">
        <f>IF(ISBLANK($B8),"",P8+U8+Z8+AE8+AJ8+AO8)</f>
        <v>1.788124999999996E-2</v>
      </c>
      <c r="AU8" s="139">
        <f t="shared" ref="AU8:AU38" si="0">IF(ISBLANK($B8),"",Q8+V8+AA8+AF8+AR8+AK8+AP8)</f>
        <v>0</v>
      </c>
      <c r="AV8" s="224">
        <f>IF(ISBLANK($B8),"",AT8+AU8)</f>
        <v>1.788124999999996E-2</v>
      </c>
    </row>
    <row r="9" spans="2:48" s="214" customFormat="1" ht="27.75" customHeight="1">
      <c r="B9" s="118">
        <v>2</v>
      </c>
      <c r="C9" s="275">
        <f>IF(ISBLANK($B9),"",VLOOKUP($B9,Teilnehmer!$B$4:$K$199,2,0))</f>
        <v>3</v>
      </c>
      <c r="D9" s="276">
        <f>IF(ISBLANK($B9),"",VLOOKUP($B9,Teilnehmer!$B$4:$K$199,3,0))</f>
        <v>11</v>
      </c>
      <c r="E9" s="93" t="str">
        <f>IF(ISBLANK($B9),"",VLOOKUP($B9,Teilnehmer!$B$4:$K$199,4,0))</f>
        <v>Schulze Stefan</v>
      </c>
      <c r="F9" s="285">
        <f>IF(ISBLANK($B9),"",VLOOKUP($B9,Teilnehmer!$B$4:$K$199,5,0))</f>
        <v>15615</v>
      </c>
      <c r="G9" s="288" t="str">
        <f>IF(ISBLANK($B9),"",VLOOKUP($B9,Teilnehmer!$B$4:$K$199,6,0))</f>
        <v>MSC Mamming</v>
      </c>
      <c r="H9" s="93" t="str">
        <f>IF(ISBLANK($B9),"",VLOOKUP($B9,Teilnehmer!$B$4:$K$199,7,0))</f>
        <v>Kuhn Lisa</v>
      </c>
      <c r="I9" s="285">
        <f>IF(ISBLANK($B9),"",VLOOKUP($B9,Teilnehmer!$B$4:$K$199,8,0))</f>
        <v>16075</v>
      </c>
      <c r="J9" s="289" t="str">
        <f>IF(ISBLANK($B9),"",VLOOKUP($B9,Teilnehmer!$B$4:$K$199,9,0))</f>
        <v>-</v>
      </c>
      <c r="K9" s="180" t="str">
        <f>IF(ISBLANK($B9),"",VLOOKUP($B9,Teilnehmer!$B$4:$K$199,10,0))</f>
        <v>Subaru Impreza</v>
      </c>
      <c r="L9" s="215"/>
      <c r="M9" s="226">
        <f t="shared" ref="M9:M66" si="1">IF(ISBLANK($B9),"",B9)</f>
        <v>2</v>
      </c>
      <c r="N9" s="115" t="str">
        <f>IF(ISBLANK($B9),"",VLOOKUP($B9,'Eingabe Zeiten'!CK:DJ,2,0))</f>
        <v>10:55:33,61</v>
      </c>
      <c r="O9" s="116" t="str">
        <f>IF(ISBLANK($B9),"",VLOOKUP($B9,'Eingabe Zeiten'!CK:DJ,3,0))</f>
        <v>11:0:19,81</v>
      </c>
      <c r="P9" s="279">
        <f t="shared" ref="P9:P66" si="2">IF(ISBLANK($B9),"",O9-N9)</f>
        <v>3.3124999999999405E-3</v>
      </c>
      <c r="Q9" s="132" t="str">
        <f>IF(ISBLANK($B9),"",VLOOKUP($B9,'Eingabe Zeiten'!CK:DJ,4,0))</f>
        <v>0:0:0,0</v>
      </c>
      <c r="R9" s="117" t="str">
        <f t="shared" ref="R9:R66" si="3">IF(OR(ISBLANK($B9),P9="ADW"),"",IF(P9&gt;$O$4,"X",""))</f>
        <v/>
      </c>
      <c r="S9" s="115" t="str">
        <f>IF(ISBLANK($B9),"",VLOOKUP($B9,'Eingabe Zeiten'!CK:DJ,6,0))</f>
        <v>11:32:29,38</v>
      </c>
      <c r="T9" s="116" t="str">
        <f>IF(ISBLANK($B9),"",VLOOKUP($B9,'Eingabe Zeiten'!CK:DJ,7,0))</f>
        <v>11:38:15,66</v>
      </c>
      <c r="U9" s="279">
        <f t="shared" ref="U9:U66" si="4">IF(ISBLANK($B9),"",T9-S9)</f>
        <v>4.0078703703704255E-3</v>
      </c>
      <c r="V9" s="132" t="str">
        <f>IF(ISBLANK($B9),"",VLOOKUP($B9,'Eingabe Zeiten'!CK:DJ,8,0))</f>
        <v>0:0:0,0</v>
      </c>
      <c r="W9" s="117" t="str">
        <f t="shared" ref="W9:W66" si="5">IF(OR(ISBLANK($B9),U9="ADW"),"",IF(U9&gt;$T$4,"X",""))</f>
        <v/>
      </c>
      <c r="X9" s="115" t="str">
        <f>IF(ISBLANK($B9),"",VLOOKUP($B9,'Eingabe Zeiten'!CK:DJ,10,0))</f>
        <v>13:19:13,77</v>
      </c>
      <c r="Y9" s="116" t="str">
        <f>IF(ISBLANK($B9),"",VLOOKUP($B9,'Eingabe Zeiten'!CK:DJ,11,0))</f>
        <v>13:23:59,35</v>
      </c>
      <c r="Z9" s="279">
        <f t="shared" ref="Z9:Z66" si="6">IF(ISBLANK($B9),"",Y9-X9)</f>
        <v>3.3053240740740231E-3</v>
      </c>
      <c r="AA9" s="132" t="str">
        <f>IF(ISBLANK($B9),"",VLOOKUP($B9,'Eingabe Zeiten'!CK:DJ,12,0))</f>
        <v>0:0:0,0</v>
      </c>
      <c r="AB9" s="117" t="str">
        <f t="shared" ref="AB9:AB66" si="7">IF(OR(ISBLANK($B9),Z9="ADW"),"",IF(Z9&gt;$Y$4,"X",""))</f>
        <v/>
      </c>
      <c r="AC9" s="115" t="str">
        <f>IF(ISBLANK($B9),"",VLOOKUP($B9,'Eingabe Zeiten'!CK:DJ,14,0))</f>
        <v>14:20:28,51</v>
      </c>
      <c r="AD9" s="116" t="str">
        <f>IF(ISBLANK($B9),"",VLOOKUP($B9,'Eingabe Zeiten'!CK:DJ,15,0))</f>
        <v>14:26:2,43</v>
      </c>
      <c r="AE9" s="279">
        <f t="shared" ref="AE9:AE66" si="8">IF(ISBLANK($B9),"",AD9-AC9)</f>
        <v>3.8648148148148209E-3</v>
      </c>
      <c r="AF9" s="132" t="str">
        <f>IF(ISBLANK($B9),"",VLOOKUP($B9,'Eingabe Zeiten'!CK:DJ,16,0))</f>
        <v>0:0:0,0</v>
      </c>
      <c r="AG9" s="117" t="str">
        <f t="shared" ref="AG9:AG66" si="9">IF(OR(ISBLANK($B9),AE9="ADW"),"",IF(AE9&gt;$AD$4,"X",""))</f>
        <v/>
      </c>
      <c r="AH9" s="115" t="str">
        <f>IF(ISBLANK($B9),"",VLOOKUP($B9,'Eingabe Zeiten'!CK:DJ,18,0))</f>
        <v>14:59:25,60</v>
      </c>
      <c r="AI9" s="116" t="str">
        <f>IF(ISBLANK($B9),"",VLOOKUP($B9,'Eingabe Zeiten'!CK:DJ,19,0))</f>
        <v>15:4:13,0</v>
      </c>
      <c r="AJ9" s="279">
        <f t="shared" ref="AJ9:AJ66" si="10">IF(ISBLANK($B9),"",AI9-AH9)</f>
        <v>3.3263888888889204E-3</v>
      </c>
      <c r="AK9" s="132" t="str">
        <f>IF(ISBLANK($B9),"",VLOOKUP($B9,'Eingabe Zeiten'!CK:DJ,20,0))</f>
        <v>0:0:30,0</v>
      </c>
      <c r="AL9" s="117" t="str">
        <f t="shared" ref="AL9:AL66" si="11">IF(OR(ISBLANK($B9),AJ9="ADW"),"",IF(AJ9&gt;$AI$4,"X",""))</f>
        <v/>
      </c>
      <c r="AM9" s="115" t="str">
        <f>IF(ISBLANK($B9),"",VLOOKUP($B9,'Eingabe Zeiten'!CK:DJ,22,0))</f>
        <v>0:0:0,0</v>
      </c>
      <c r="AN9" s="116" t="str">
        <f>IF(ISBLANK($B9),"",VLOOKUP($B9,'Eingabe Zeiten'!CK:DJ,23,0))</f>
        <v>0:0:0,0</v>
      </c>
      <c r="AO9" s="279">
        <f t="shared" ref="AO9:AO10" si="12">IF(ISBLANK($B9),"",AN9-AM9)</f>
        <v>0</v>
      </c>
      <c r="AP9" s="132" t="str">
        <f>IF(ISBLANK($B9),"",VLOOKUP($B9,'Eingabe Zeiten'!CK:DJ,24,0))</f>
        <v>0:0:0,0</v>
      </c>
      <c r="AQ9" s="117" t="str">
        <f t="shared" ref="AQ9:AQ66" si="13">IF(OR(ISBLANK($B9),AO9="ADW"),"",IF(AO9&gt;$AN$4,"X",""))</f>
        <v/>
      </c>
      <c r="AR9" s="136" t="str">
        <f>IF(ISBLANK($B9),"",VLOOKUP($B9,'Eingabe Zeiten'!CK:DJ,26,0))</f>
        <v>0:0:0,0</v>
      </c>
      <c r="AS9" s="213"/>
      <c r="AT9" s="279">
        <f t="shared" ref="AT8:AT38" si="14">IF(ISBLANK($B9),"",P9+U9+Z9+AE9+AJ9+AO9)</f>
        <v>1.781689814814813E-2</v>
      </c>
      <c r="AU9" s="139">
        <f t="shared" si="0"/>
        <v>3.4722222222222224E-4</v>
      </c>
      <c r="AV9" s="224">
        <f t="shared" ref="AV9:AV11" si="15">IF(ISBLANK($B9),"",AT9+AU9)</f>
        <v>1.8164120370370351E-2</v>
      </c>
    </row>
    <row r="10" spans="2:48" s="214" customFormat="1" ht="27.75" customHeight="1">
      <c r="B10" s="118">
        <v>3</v>
      </c>
      <c r="C10" s="275">
        <f>IF(ISBLANK($B10),"",VLOOKUP($B10,Teilnehmer!$B$4:$K$199,2,0))</f>
        <v>3</v>
      </c>
      <c r="D10" s="276">
        <f>IF(ISBLANK($B10),"",VLOOKUP($B10,Teilnehmer!$B$4:$K$199,3,0))</f>
        <v>11</v>
      </c>
      <c r="E10" s="93" t="str">
        <f>IF(ISBLANK($B10),"",VLOOKUP($B10,Teilnehmer!$B$4:$K$199,4,0))</f>
        <v>Köhler Stephan</v>
      </c>
      <c r="F10" s="285">
        <f>IF(ISBLANK($B10),"",VLOOKUP($B10,Teilnehmer!$B$4:$K$199,5,0))</f>
        <v>15208</v>
      </c>
      <c r="G10" s="288" t="str">
        <f>IF(ISBLANK($B10),"",VLOOKUP($B10,Teilnehmer!$B$4:$K$199,6,0))</f>
        <v>MSC Mamming</v>
      </c>
      <c r="H10" s="93" t="str">
        <f>IF(ISBLANK($B10),"",VLOOKUP($B10,Teilnehmer!$B$4:$K$199,7,0))</f>
        <v>Schachtner Michaela</v>
      </c>
      <c r="I10" s="285">
        <f>IF(ISBLANK($B10),"",VLOOKUP($B10,Teilnehmer!$B$4:$K$199,8,0))</f>
        <v>16147</v>
      </c>
      <c r="J10" s="289" t="str">
        <f>IF(ISBLANK($B10),"",VLOOKUP($B10,Teilnehmer!$B$4:$K$199,9,0))</f>
        <v>MSC Emmersdorf</v>
      </c>
      <c r="K10" s="180" t="str">
        <f>IF(ISBLANK($B10),"",VLOOKUP($B10,Teilnehmer!$B$4:$K$199,10,0))</f>
        <v>Mitsubishi EV6</v>
      </c>
      <c r="L10" s="216"/>
      <c r="M10" s="226">
        <f t="shared" si="1"/>
        <v>3</v>
      </c>
      <c r="N10" s="115" t="str">
        <f>IF(ISBLANK($B10),"",VLOOKUP($B10,'Eingabe Zeiten'!CK:DJ,2,0))</f>
        <v>10:55:55,5</v>
      </c>
      <c r="O10" s="116" t="str">
        <f>IF(ISBLANK($B10),"",VLOOKUP($B10,'Eingabe Zeiten'!CK:DJ,3,0))</f>
        <v>11:1:4,26</v>
      </c>
      <c r="P10" s="279">
        <f t="shared" si="2"/>
        <v>3.5736111111111524E-3</v>
      </c>
      <c r="Q10" s="132" t="str">
        <f>IF(ISBLANK($B10),"",VLOOKUP($B10,'Eingabe Zeiten'!CK:DJ,4,0))</f>
        <v>0:0:0,0</v>
      </c>
      <c r="R10" s="117" t="str">
        <f t="shared" si="3"/>
        <v/>
      </c>
      <c r="S10" s="115" t="str">
        <f>IF(ISBLANK($B10),"",VLOOKUP($B10,'Eingabe Zeiten'!CK:DJ,6,0))</f>
        <v>11:33:2,77</v>
      </c>
      <c r="T10" s="116" t="str">
        <f>IF(ISBLANK($B10),"",VLOOKUP($B10,'Eingabe Zeiten'!CK:DJ,7,0))</f>
        <v>11:39:29,18</v>
      </c>
      <c r="U10" s="279">
        <f t="shared" si="4"/>
        <v>4.47233796296298E-3</v>
      </c>
      <c r="V10" s="132" t="str">
        <f>IF(ISBLANK($B10),"",VLOOKUP($B10,'Eingabe Zeiten'!CK:DJ,8,0))</f>
        <v>0:0:0,0</v>
      </c>
      <c r="W10" s="117" t="str">
        <f t="shared" si="5"/>
        <v/>
      </c>
      <c r="X10" s="115" t="str">
        <f>IF(ISBLANK($B10),"",VLOOKUP($B10,'Eingabe Zeiten'!CK:DJ,10,0))</f>
        <v>13:19:56,49</v>
      </c>
      <c r="Y10" s="116" t="str">
        <f>IF(ISBLANK($B10),"",VLOOKUP($B10,'Eingabe Zeiten'!CK:DJ,11,0))</f>
        <v>13:25:0,83</v>
      </c>
      <c r="Z10" s="279">
        <f t="shared" si="6"/>
        <v>3.5224537037037429E-3</v>
      </c>
      <c r="AA10" s="132" t="str">
        <f>IF(ISBLANK($B10),"",VLOOKUP($B10,'Eingabe Zeiten'!CK:DJ,12,0))</f>
        <v>0:0:0,0</v>
      </c>
      <c r="AB10" s="117" t="str">
        <f t="shared" si="7"/>
        <v/>
      </c>
      <c r="AC10" s="115" t="str">
        <f>IF(ISBLANK($B10),"",VLOOKUP($B10,'Eingabe Zeiten'!CK:DJ,14,0))</f>
        <v>14:25:8,46</v>
      </c>
      <c r="AD10" s="116" t="str">
        <f>IF(ISBLANK($B10),"",VLOOKUP($B10,'Eingabe Zeiten'!CK:DJ,15,0))</f>
        <v>14:31:4,5</v>
      </c>
      <c r="AE10" s="279">
        <f t="shared" si="8"/>
        <v>4.1208333333333513E-3</v>
      </c>
      <c r="AF10" s="132" t="str">
        <f>IF(ISBLANK($B10),"",VLOOKUP($B10,'Eingabe Zeiten'!CK:DJ,16,0))</f>
        <v>0:0:0,0</v>
      </c>
      <c r="AG10" s="117" t="str">
        <f t="shared" si="9"/>
        <v/>
      </c>
      <c r="AH10" s="115" t="str">
        <f>IF(ISBLANK($B10),"",VLOOKUP($B10,'Eingabe Zeiten'!CK:DJ,18,0))</f>
        <v>14:59:52,74</v>
      </c>
      <c r="AI10" s="116" t="str">
        <f>IF(ISBLANK($B10),"",VLOOKUP($B10,'Eingabe Zeiten'!CK:DJ,19,0))</f>
        <v>15:4:57,31</v>
      </c>
      <c r="AJ10" s="279">
        <f t="shared" si="10"/>
        <v>3.5251157407407696E-3</v>
      </c>
      <c r="AK10" s="132" t="str">
        <f>IF(ISBLANK($B10),"",VLOOKUP($B10,'Eingabe Zeiten'!CK:DJ,20,0))</f>
        <v>0:0:0,0</v>
      </c>
      <c r="AL10" s="117" t="str">
        <f t="shared" si="11"/>
        <v/>
      </c>
      <c r="AM10" s="115" t="str">
        <f>IF(ISBLANK($B10),"",VLOOKUP($B10,'Eingabe Zeiten'!CK:DJ,22,0))</f>
        <v>0:0:0,0</v>
      </c>
      <c r="AN10" s="116" t="str">
        <f>IF(ISBLANK($B10),"",VLOOKUP($B10,'Eingabe Zeiten'!CK:DJ,23,0))</f>
        <v>0:0:0,0</v>
      </c>
      <c r="AO10" s="279">
        <f t="shared" si="12"/>
        <v>0</v>
      </c>
      <c r="AP10" s="132" t="str">
        <f>IF(ISBLANK($B10),"",VLOOKUP($B10,'Eingabe Zeiten'!CK:DJ,24,0))</f>
        <v>0:0:0,0</v>
      </c>
      <c r="AQ10" s="117" t="str">
        <f t="shared" si="13"/>
        <v/>
      </c>
      <c r="AR10" s="136" t="str">
        <f>IF(ISBLANK($B10),"",VLOOKUP($B10,'Eingabe Zeiten'!CK:DJ,26,0))</f>
        <v>0:0:0,0</v>
      </c>
      <c r="AS10" s="217"/>
      <c r="AT10" s="279">
        <f t="shared" si="14"/>
        <v>1.9214351851851996E-2</v>
      </c>
      <c r="AU10" s="139">
        <f t="shared" si="0"/>
        <v>0</v>
      </c>
      <c r="AV10" s="224">
        <f t="shared" si="15"/>
        <v>1.9214351851851996E-2</v>
      </c>
    </row>
    <row r="11" spans="2:48" s="214" customFormat="1" ht="27.75" customHeight="1">
      <c r="B11" s="118">
        <v>4</v>
      </c>
      <c r="C11" s="275">
        <f>IF(ISBLANK($B11),"",VLOOKUP($B11,Teilnehmer!$B$4:$K$199,2,0))</f>
        <v>3</v>
      </c>
      <c r="D11" s="276">
        <f>IF(ISBLANK($B11),"",VLOOKUP($B11,Teilnehmer!$B$4:$K$199,3,0))</f>
        <v>11</v>
      </c>
      <c r="E11" s="93" t="str">
        <f>IF(ISBLANK($B11),"",VLOOKUP($B11,Teilnehmer!$B$4:$K$199,4,0))</f>
        <v>Rader Manfred</v>
      </c>
      <c r="F11" s="285">
        <f>IF(ISBLANK($B11),"",VLOOKUP($B11,Teilnehmer!$B$4:$K$199,5,0))</f>
        <v>15053</v>
      </c>
      <c r="G11" s="288" t="str">
        <f>IF(ISBLANK($B11),"",VLOOKUP($B11,Teilnehmer!$B$4:$K$199,6,0))</f>
        <v>-</v>
      </c>
      <c r="H11" s="93" t="str">
        <f>IF(ISBLANK($B11),"",VLOOKUP($B11,Teilnehmer!$B$4:$K$199,7,0))</f>
        <v>Hierbeck Andreas</v>
      </c>
      <c r="I11" s="285" t="str">
        <f>IF(ISBLANK($B11),"",VLOOKUP($B11,Teilnehmer!$B$4:$K$199,8,0))</f>
        <v>-</v>
      </c>
      <c r="J11" s="289" t="str">
        <f>IF(ISBLANK($B11),"",VLOOKUP($B11,Teilnehmer!$B$4:$K$199,9,0))</f>
        <v>-</v>
      </c>
      <c r="K11" s="180" t="str">
        <f>IF(ISBLANK($B11),"",VLOOKUP($B11,Teilnehmer!$B$4:$K$199,10,0))</f>
        <v>Audi 80 Quattro</v>
      </c>
      <c r="L11" s="212"/>
      <c r="M11" s="226">
        <f t="shared" si="1"/>
        <v>4</v>
      </c>
      <c r="N11" s="115" t="str">
        <f>IF(ISBLANK($B11),"",VLOOKUP($B11,'Eingabe Zeiten'!CK:DJ,2,0))</f>
        <v>10:56:29,20</v>
      </c>
      <c r="O11" s="116" t="str">
        <f>IF(ISBLANK($B11),"",VLOOKUP($B11,'Eingabe Zeiten'!CK:DJ,3,0))</f>
        <v>11:1:42,23</v>
      </c>
      <c r="P11" s="279">
        <f t="shared" si="2"/>
        <v>3.6230324074074671E-3</v>
      </c>
      <c r="Q11" s="132" t="str">
        <f>IF(ISBLANK($B11),"",VLOOKUP($B11,'Eingabe Zeiten'!CK:DJ,4,0))</f>
        <v>0:0:0,0</v>
      </c>
      <c r="R11" s="117" t="str">
        <f t="shared" si="3"/>
        <v/>
      </c>
      <c r="S11" s="115" t="str">
        <f>IF(ISBLANK($B11),"",VLOOKUP($B11,'Eingabe Zeiten'!CK:DJ,6,0))</f>
        <v>::,</v>
      </c>
      <c r="T11" s="116" t="str">
        <f>IF(ISBLANK($B11),"",VLOOKUP($B11,'Eingabe Zeiten'!CK:DJ,7,0))</f>
        <v>::,</v>
      </c>
      <c r="U11" s="279" t="s">
        <v>287</v>
      </c>
      <c r="V11" s="132" t="str">
        <f>IF(ISBLANK($B11),"",VLOOKUP($B11,'Eingabe Zeiten'!CK:DJ,8,0))</f>
        <v>0:0:0,0</v>
      </c>
      <c r="W11" s="117" t="str">
        <f t="shared" si="5"/>
        <v/>
      </c>
      <c r="X11" s="115" t="str">
        <f>IF(ISBLANK($B11),"",VLOOKUP($B11,'Eingabe Zeiten'!CK:DJ,10,0))</f>
        <v>::,</v>
      </c>
      <c r="Y11" s="116" t="str">
        <f>IF(ISBLANK($B11),"",VLOOKUP($B11,'Eingabe Zeiten'!CK:DJ,11,0))</f>
        <v>::,</v>
      </c>
      <c r="Z11" s="279" t="s">
        <v>287</v>
      </c>
      <c r="AA11" s="132" t="str">
        <f>IF(ISBLANK($B11),"",VLOOKUP($B11,'Eingabe Zeiten'!CK:DJ,12,0))</f>
        <v>0:0:0,0</v>
      </c>
      <c r="AB11" s="117" t="str">
        <f t="shared" si="7"/>
        <v/>
      </c>
      <c r="AC11" s="115" t="str">
        <f>IF(ISBLANK($B11),"",VLOOKUP($B11,'Eingabe Zeiten'!CK:DJ,14,0))</f>
        <v>::,</v>
      </c>
      <c r="AD11" s="116" t="str">
        <f>IF(ISBLANK($B11),"",VLOOKUP($B11,'Eingabe Zeiten'!CK:DJ,15,0))</f>
        <v>::,</v>
      </c>
      <c r="AE11" s="279" t="s">
        <v>287</v>
      </c>
      <c r="AF11" s="132" t="str">
        <f>IF(ISBLANK($B11),"",VLOOKUP($B11,'Eingabe Zeiten'!CK:DJ,16,0))</f>
        <v>0:0:0,0</v>
      </c>
      <c r="AG11" s="117" t="str">
        <f t="shared" si="9"/>
        <v/>
      </c>
      <c r="AH11" s="115" t="str">
        <f>IF(ISBLANK($B11),"",VLOOKUP($B11,'Eingabe Zeiten'!CK:DJ,18,0))</f>
        <v>::,</v>
      </c>
      <c r="AI11" s="116" t="str">
        <f>IF(ISBLANK($B11),"",VLOOKUP($B11,'Eingabe Zeiten'!CK:DJ,19,0))</f>
        <v>::,</v>
      </c>
      <c r="AJ11" s="279" t="s">
        <v>287</v>
      </c>
      <c r="AK11" s="132" t="str">
        <f>IF(ISBLANK($B11),"",VLOOKUP($B11,'Eingabe Zeiten'!CK:DJ,20,0))</f>
        <v>0:0:0,0</v>
      </c>
      <c r="AL11" s="117" t="str">
        <f t="shared" si="11"/>
        <v/>
      </c>
      <c r="AM11" s="115" t="str">
        <f>IF(ISBLANK($B11),"",VLOOKUP($B11,'Eingabe Zeiten'!CK:DJ,22,0))</f>
        <v>0:0:0,0</v>
      </c>
      <c r="AN11" s="116" t="str">
        <f>IF(ISBLANK($B11),"",VLOOKUP($B11,'Eingabe Zeiten'!CK:DJ,23,0))</f>
        <v>0:0:0,0</v>
      </c>
      <c r="AO11" s="279">
        <f>IF(ISBLANK($B11),"",AN11-AM11)</f>
        <v>0</v>
      </c>
      <c r="AP11" s="132" t="str">
        <f>IF(ISBLANK($B11),"",VLOOKUP($B11,'Eingabe Zeiten'!CK:DJ,24,0))</f>
        <v>0:0:0,0</v>
      </c>
      <c r="AQ11" s="117" t="str">
        <f t="shared" si="13"/>
        <v/>
      </c>
      <c r="AR11" s="136" t="str">
        <f>IF(ISBLANK($B11),"",VLOOKUP($B11,'Eingabe Zeiten'!CK:DJ,26,0))</f>
        <v>0:0:0,0</v>
      </c>
      <c r="AS11" s="213"/>
      <c r="AT11" s="279" t="s">
        <v>287</v>
      </c>
      <c r="AU11" s="139">
        <f t="shared" si="0"/>
        <v>0</v>
      </c>
      <c r="AV11" s="224" t="s">
        <v>287</v>
      </c>
    </row>
    <row r="12" spans="2:48" s="214" customFormat="1" ht="27.75" customHeight="1">
      <c r="B12" s="118">
        <v>5</v>
      </c>
      <c r="C12" s="275">
        <f>IF(ISBLANK($B12),"",VLOOKUP($B12,Teilnehmer!$B$4:$K$199,2,0))</f>
        <v>3</v>
      </c>
      <c r="D12" s="276">
        <f>IF(ISBLANK($B12),"",VLOOKUP($B12,Teilnehmer!$B$4:$K$199,3,0))</f>
        <v>11</v>
      </c>
      <c r="E12" s="93" t="str">
        <f>IF(ISBLANK($B12),"",VLOOKUP($B12,Teilnehmer!$B$4:$K$199,4,0))</f>
        <v>Paul Gerhard</v>
      </c>
      <c r="F12" s="285">
        <f>IF(ISBLANK($B12),"",VLOOKUP($B12,Teilnehmer!$B$4:$K$199,5,0))</f>
        <v>16128</v>
      </c>
      <c r="G12" s="288" t="str">
        <f>IF(ISBLANK($B12),"",VLOOKUP($B12,Teilnehmer!$B$4:$K$199,6,0))</f>
        <v>AC Gunzenhausen</v>
      </c>
      <c r="H12" s="93" t="str">
        <f>IF(ISBLANK($B12),"",VLOOKUP($B12,Teilnehmer!$B$4:$K$199,7,0))</f>
        <v>Paul Jana</v>
      </c>
      <c r="I12" s="285">
        <f>IF(ISBLANK($B12),"",VLOOKUP($B12,Teilnehmer!$B$4:$K$199,8,0))</f>
        <v>16127</v>
      </c>
      <c r="J12" s="289" t="str">
        <f>IF(ISBLANK($B12),"",VLOOKUP($B12,Teilnehmer!$B$4:$K$199,9,0))</f>
        <v>AC Gunzenhausen</v>
      </c>
      <c r="K12" s="180" t="str">
        <f>IF(ISBLANK($B12),"",VLOOKUP($B12,Teilnehmer!$B$4:$K$199,10,0))</f>
        <v>BMW E30ix</v>
      </c>
      <c r="L12" s="212"/>
      <c r="M12" s="226">
        <f t="shared" si="1"/>
        <v>5</v>
      </c>
      <c r="N12" s="115" t="str">
        <f>IF(ISBLANK($B12),"",VLOOKUP($B12,'Eingabe Zeiten'!CK:DJ,2,0))</f>
        <v>10:57:44,77</v>
      </c>
      <c r="O12" s="116" t="str">
        <f>IF(ISBLANK($B12),"",VLOOKUP($B12,'Eingabe Zeiten'!CK:DJ,3,0))</f>
        <v>11:3:23,86</v>
      </c>
      <c r="P12" s="279">
        <f t="shared" si="2"/>
        <v>3.9246527777778151E-3</v>
      </c>
      <c r="Q12" s="132" t="str">
        <f>IF(ISBLANK($B12),"",VLOOKUP($B12,'Eingabe Zeiten'!CK:DJ,4,0))</f>
        <v>0:0:0,0</v>
      </c>
      <c r="R12" s="117" t="str">
        <f t="shared" si="3"/>
        <v/>
      </c>
      <c r="S12" s="115" t="str">
        <f>IF(ISBLANK($B12),"",VLOOKUP($B12,'Eingabe Zeiten'!CK:DJ,6,0))</f>
        <v>11:38:38,69</v>
      </c>
      <c r="T12" s="116" t="str">
        <f>IF(ISBLANK($B12),"",VLOOKUP($B12,'Eingabe Zeiten'!CK:DJ,7,0))</f>
        <v>::,</v>
      </c>
      <c r="U12" s="305">
        <v>1.0416666666666666E-2</v>
      </c>
      <c r="V12" s="132" t="str">
        <f>IF(ISBLANK($B12),"",VLOOKUP($B12,'Eingabe Zeiten'!CK:DJ,8,0))</f>
        <v>0:0:0,0</v>
      </c>
      <c r="W12" s="117" t="str">
        <f t="shared" si="5"/>
        <v/>
      </c>
      <c r="X12" s="115" t="str">
        <f>IF(ISBLANK($B12),"",VLOOKUP($B12,'Eingabe Zeiten'!CK:DJ,10,0))</f>
        <v>::,</v>
      </c>
      <c r="Y12" s="116" t="str">
        <f>IF(ISBLANK($B12),"",VLOOKUP($B12,'Eingabe Zeiten'!CK:DJ,11,0))</f>
        <v>::,</v>
      </c>
      <c r="Z12" s="279" t="s">
        <v>287</v>
      </c>
      <c r="AA12" s="132" t="str">
        <f>IF(ISBLANK($B12),"",VLOOKUP($B12,'Eingabe Zeiten'!CK:DJ,12,0))</f>
        <v>0:0:0,0</v>
      </c>
      <c r="AB12" s="117" t="str">
        <f t="shared" si="7"/>
        <v/>
      </c>
      <c r="AC12" s="115" t="str">
        <f>IF(ISBLANK($B12),"",VLOOKUP($B12,'Eingabe Zeiten'!CK:DJ,14,0))</f>
        <v>::,</v>
      </c>
      <c r="AD12" s="116" t="str">
        <f>IF(ISBLANK($B12),"",VLOOKUP($B12,'Eingabe Zeiten'!CK:DJ,15,0))</f>
        <v>::,</v>
      </c>
      <c r="AE12" s="279" t="s">
        <v>287</v>
      </c>
      <c r="AF12" s="132" t="str">
        <f>IF(ISBLANK($B12),"",VLOOKUP($B12,'Eingabe Zeiten'!CK:DJ,16,0))</f>
        <v>0:0:0,0</v>
      </c>
      <c r="AG12" s="117" t="str">
        <f t="shared" si="9"/>
        <v/>
      </c>
      <c r="AH12" s="115" t="str">
        <f>IF(ISBLANK($B12),"",VLOOKUP($B12,'Eingabe Zeiten'!CK:DJ,18,0))</f>
        <v>::,</v>
      </c>
      <c r="AI12" s="116" t="str">
        <f>IF(ISBLANK($B12),"",VLOOKUP($B12,'Eingabe Zeiten'!CK:DJ,19,0))</f>
        <v>::,</v>
      </c>
      <c r="AJ12" s="279" t="s">
        <v>287</v>
      </c>
      <c r="AK12" s="132" t="str">
        <f>IF(ISBLANK($B12),"",VLOOKUP($B12,'Eingabe Zeiten'!CK:DJ,20,0))</f>
        <v>0:0:0,0</v>
      </c>
      <c r="AL12" s="117" t="str">
        <f t="shared" si="11"/>
        <v/>
      </c>
      <c r="AM12" s="115" t="str">
        <f>IF(ISBLANK($B12),"",VLOOKUP($B12,'Eingabe Zeiten'!CK:DJ,22,0))</f>
        <v>0:0:0,0</v>
      </c>
      <c r="AN12" s="116" t="str">
        <f>IF(ISBLANK($B12),"",VLOOKUP($B12,'Eingabe Zeiten'!CK:DJ,23,0))</f>
        <v>0:0:0,0</v>
      </c>
      <c r="AO12" s="279">
        <f t="shared" ref="AO12:AO66" si="16">IF(ISBLANK($B12),"",AN12-AM12)</f>
        <v>0</v>
      </c>
      <c r="AP12" s="132" t="str">
        <f>IF(ISBLANK($B12),"",VLOOKUP($B12,'Eingabe Zeiten'!CK:DJ,24,0))</f>
        <v>0:0:0,0</v>
      </c>
      <c r="AQ12" s="117" t="str">
        <f t="shared" si="13"/>
        <v/>
      </c>
      <c r="AR12" s="136" t="str">
        <f>IF(ISBLANK($B12),"",VLOOKUP($B12,'Eingabe Zeiten'!CK:DJ,26,0))</f>
        <v>0:0:0,0</v>
      </c>
      <c r="AS12" s="213"/>
      <c r="AT12" s="279" t="s">
        <v>287</v>
      </c>
      <c r="AU12" s="139">
        <f t="shared" si="0"/>
        <v>0</v>
      </c>
      <c r="AV12" s="224" t="s">
        <v>287</v>
      </c>
    </row>
    <row r="13" spans="2:48" s="214" customFormat="1" ht="27.75" customHeight="1">
      <c r="B13" s="118">
        <v>6</v>
      </c>
      <c r="C13" s="275">
        <f>IF(ISBLANK($B13),"",VLOOKUP($B13,Teilnehmer!$B$4:$K$199,2,0))</f>
        <v>3</v>
      </c>
      <c r="D13" s="276">
        <f>IF(ISBLANK($B13),"",VLOOKUP($B13,Teilnehmer!$B$4:$K$199,3,0))</f>
        <v>11</v>
      </c>
      <c r="E13" s="93" t="str">
        <f>IF(ISBLANK($B13),"",VLOOKUP($B13,Teilnehmer!$B$4:$K$199,4,0))</f>
        <v>Honke Reinhard</v>
      </c>
      <c r="F13" s="285" t="str">
        <f>IF(ISBLANK($B13),"",VLOOKUP($B13,Teilnehmer!$B$4:$K$199,5,0))</f>
        <v>-</v>
      </c>
      <c r="G13" s="288" t="str">
        <f>IF(ISBLANK($B13),"",VLOOKUP($B13,Teilnehmer!$B$4:$K$199,6,0))</f>
        <v>AC Bayreuth</v>
      </c>
      <c r="H13" s="93" t="str">
        <f>IF(ISBLANK($B13),"",VLOOKUP($B13,Teilnehmer!$B$4:$K$199,7,0))</f>
        <v>Heinze Michael</v>
      </c>
      <c r="I13" s="285" t="str">
        <f>IF(ISBLANK($B13),"",VLOOKUP($B13,Teilnehmer!$B$4:$K$199,8,0))</f>
        <v>-</v>
      </c>
      <c r="J13" s="289" t="str">
        <f>IF(ISBLANK($B13),"",VLOOKUP($B13,Teilnehmer!$B$4:$K$199,9,0))</f>
        <v>MSC Fränkische Schweiz</v>
      </c>
      <c r="K13" s="180" t="str">
        <f>IF(ISBLANK($B13),"",VLOOKUP($B13,Teilnehmer!$B$4:$K$199,10,0))</f>
        <v>Mitsubishi Lancer Evo 10</v>
      </c>
      <c r="L13" s="212"/>
      <c r="M13" s="226">
        <f t="shared" si="1"/>
        <v>6</v>
      </c>
      <c r="N13" s="115" t="str">
        <f>IF(ISBLANK($B13),"",VLOOKUP($B13,'Eingabe Zeiten'!CK:DJ,2,0))</f>
        <v>10:59:33,78</v>
      </c>
      <c r="O13" s="116" t="str">
        <f>IF(ISBLANK($B13),"",VLOOKUP($B13,'Eingabe Zeiten'!CK:DJ,3,0))</f>
        <v>11:5:28,0</v>
      </c>
      <c r="P13" s="279">
        <f t="shared" si="2"/>
        <v>4.0997685185185095E-3</v>
      </c>
      <c r="Q13" s="132" t="str">
        <f>IF(ISBLANK($B13),"",VLOOKUP($B13,'Eingabe Zeiten'!CK:DJ,4,0))</f>
        <v>0:0:30,0</v>
      </c>
      <c r="R13" s="117" t="str">
        <f t="shared" si="3"/>
        <v/>
      </c>
      <c r="S13" s="115" t="str">
        <f>IF(ISBLANK($B13),"",VLOOKUP($B13,'Eingabe Zeiten'!CK:DJ,6,0))</f>
        <v>11:39:29,91</v>
      </c>
      <c r="T13" s="116" t="str">
        <f>IF(ISBLANK($B13),"",VLOOKUP($B13,'Eingabe Zeiten'!CK:DJ,7,0))</f>
        <v>11:45:41,47</v>
      </c>
      <c r="U13" s="279">
        <f t="shared" si="4"/>
        <v>4.3004629629629365E-3</v>
      </c>
      <c r="V13" s="132" t="str">
        <f>IF(ISBLANK($B13),"",VLOOKUP($B13,'Eingabe Zeiten'!CK:DJ,8,0))</f>
        <v>0:0:0,0</v>
      </c>
      <c r="W13" s="117" t="str">
        <f t="shared" si="5"/>
        <v/>
      </c>
      <c r="X13" s="115" t="str">
        <f>IF(ISBLANK($B13),"",VLOOKUP($B13,'Eingabe Zeiten'!CK:DJ,10,0))</f>
        <v>13:21:20,89</v>
      </c>
      <c r="Y13" s="116" t="str">
        <f>IF(ISBLANK($B13),"",VLOOKUP($B13,'Eingabe Zeiten'!CK:DJ,11,0))</f>
        <v>13:26:35,14</v>
      </c>
      <c r="Z13" s="279">
        <f t="shared" si="6"/>
        <v>3.6371527777777635E-3</v>
      </c>
      <c r="AA13" s="132" t="str">
        <f>IF(ISBLANK($B13),"",VLOOKUP($B13,'Eingabe Zeiten'!CK:DJ,12,0))</f>
        <v>0:0:0,0</v>
      </c>
      <c r="AB13" s="117" t="str">
        <f t="shared" si="7"/>
        <v/>
      </c>
      <c r="AC13" s="115" t="str">
        <f>IF(ISBLANK($B13),"",VLOOKUP($B13,'Eingabe Zeiten'!CK:DJ,14,0))</f>
        <v>14:25:36,79</v>
      </c>
      <c r="AD13" s="116" t="str">
        <f>IF(ISBLANK($B13),"",VLOOKUP($B13,'Eingabe Zeiten'!CK:DJ,15,0))</f>
        <v>14:31:33,53</v>
      </c>
      <c r="AE13" s="279">
        <f t="shared" si="8"/>
        <v>4.1289351851852008E-3</v>
      </c>
      <c r="AF13" s="132" t="str">
        <f>IF(ISBLANK($B13),"",VLOOKUP($B13,'Eingabe Zeiten'!CK:DJ,16,0))</f>
        <v>0:0:0,0</v>
      </c>
      <c r="AG13" s="117" t="str">
        <f t="shared" si="9"/>
        <v/>
      </c>
      <c r="AH13" s="115" t="str">
        <f>IF(ISBLANK($B13),"",VLOOKUP($B13,'Eingabe Zeiten'!CK:DJ,18,0))</f>
        <v>15:0:23,33</v>
      </c>
      <c r="AI13" s="116" t="str">
        <f>IF(ISBLANK($B13),"",VLOOKUP($B13,'Eingabe Zeiten'!CK:DJ,19,0))</f>
        <v>15:5:31,85</v>
      </c>
      <c r="AJ13" s="279">
        <f t="shared" si="10"/>
        <v>3.5708333333333009E-3</v>
      </c>
      <c r="AK13" s="132" t="str">
        <f>IF(ISBLANK($B13),"",VLOOKUP($B13,'Eingabe Zeiten'!CK:DJ,20,0))</f>
        <v>0:0:0,0</v>
      </c>
      <c r="AL13" s="117" t="str">
        <f t="shared" si="11"/>
        <v/>
      </c>
      <c r="AM13" s="115" t="str">
        <f>IF(ISBLANK($B13),"",VLOOKUP($B13,'Eingabe Zeiten'!CK:DJ,22,0))</f>
        <v>0:0:0,0</v>
      </c>
      <c r="AN13" s="116" t="str">
        <f>IF(ISBLANK($B13),"",VLOOKUP($B13,'Eingabe Zeiten'!CK:DJ,23,0))</f>
        <v>0:0:0,0</v>
      </c>
      <c r="AO13" s="279">
        <f t="shared" si="16"/>
        <v>0</v>
      </c>
      <c r="AP13" s="132" t="str">
        <f>IF(ISBLANK($B13),"",VLOOKUP($B13,'Eingabe Zeiten'!CK:DJ,24,0))</f>
        <v>0:0:0,0</v>
      </c>
      <c r="AQ13" s="117" t="str">
        <f t="shared" si="13"/>
        <v/>
      </c>
      <c r="AR13" s="136" t="str">
        <f>IF(ISBLANK($B13),"",VLOOKUP($B13,'Eingabe Zeiten'!CK:DJ,26,0))</f>
        <v>0:0:0,0</v>
      </c>
      <c r="AS13" s="213"/>
      <c r="AT13" s="279">
        <f t="shared" si="14"/>
        <v>1.9737152777777711E-2</v>
      </c>
      <c r="AU13" s="139">
        <f t="shared" si="0"/>
        <v>3.4722222222222224E-4</v>
      </c>
      <c r="AV13" s="224">
        <f t="shared" ref="AV12:AV66" si="17">IF(ISBLANK($B13),"",AT13+AU13)</f>
        <v>2.0084374999999932E-2</v>
      </c>
    </row>
    <row r="14" spans="2:48" s="214" customFormat="1" ht="27.75" customHeight="1">
      <c r="B14" s="118">
        <v>7</v>
      </c>
      <c r="C14" s="275">
        <f>IF(ISBLANK($B14),"",VLOOKUP($B14,Teilnehmer!$B$4:$K$199,2,0))</f>
        <v>3</v>
      </c>
      <c r="D14" s="276">
        <f>IF(ISBLANK($B14),"",VLOOKUP($B14,Teilnehmer!$B$4:$K$199,3,0))</f>
        <v>11</v>
      </c>
      <c r="E14" s="93" t="str">
        <f>IF(ISBLANK($B14),"",VLOOKUP($B14,Teilnehmer!$B$4:$K$199,4,0))</f>
        <v>Kübler Ulrich</v>
      </c>
      <c r="F14" s="285" t="str">
        <f>IF(ISBLANK($B14),"",VLOOKUP($B14,Teilnehmer!$B$4:$K$199,5,0))</f>
        <v>-</v>
      </c>
      <c r="G14" s="288" t="str">
        <f>IF(ISBLANK($B14),"",VLOOKUP($B14,Teilnehmer!$B$4:$K$199,6,0))</f>
        <v>HMC Öhringen</v>
      </c>
      <c r="H14" s="93" t="str">
        <f>IF(ISBLANK($B14),"",VLOOKUP($B14,Teilnehmer!$B$4:$K$199,7,0))</f>
        <v>Kübler Rick</v>
      </c>
      <c r="I14" s="285" t="str">
        <f>IF(ISBLANK($B14),"",VLOOKUP($B14,Teilnehmer!$B$4:$K$199,8,0))</f>
        <v>-</v>
      </c>
      <c r="J14" s="289" t="str">
        <f>IF(ISBLANK($B14),"",VLOOKUP($B14,Teilnehmer!$B$4:$K$199,9,0))</f>
        <v>-</v>
      </c>
      <c r="K14" s="180" t="str">
        <f>IF(ISBLANK($B14),"",VLOOKUP($B14,Teilnehmer!$B$4:$K$199,10,0))</f>
        <v>Mitsubishi Lancer EVO 8</v>
      </c>
      <c r="L14" s="212"/>
      <c r="M14" s="226">
        <f t="shared" si="1"/>
        <v>7</v>
      </c>
      <c r="N14" s="115" t="str">
        <f>IF(ISBLANK($B14),"",VLOOKUP($B14,'Eingabe Zeiten'!CK:DJ,2,0))</f>
        <v>11:0:56,24</v>
      </c>
      <c r="O14" s="116" t="str">
        <f>IF(ISBLANK($B14),"",VLOOKUP($B14,'Eingabe Zeiten'!CK:DJ,3,0))</f>
        <v>11:6:2,50</v>
      </c>
      <c r="P14" s="279">
        <f t="shared" si="2"/>
        <v>3.5446759259259442E-3</v>
      </c>
      <c r="Q14" s="132" t="str">
        <f>IF(ISBLANK($B14),"",VLOOKUP($B14,'Eingabe Zeiten'!CK:DJ,4,0))</f>
        <v>0:0:0,0</v>
      </c>
      <c r="R14" s="117" t="str">
        <f t="shared" si="3"/>
        <v/>
      </c>
      <c r="S14" s="115" t="str">
        <f>IF(ISBLANK($B14),"",VLOOKUP($B14,'Eingabe Zeiten'!CK:DJ,6,0))</f>
        <v>11:40:3,15</v>
      </c>
      <c r="T14" s="116" t="str">
        <f>IF(ISBLANK($B14),"",VLOOKUP($B14,'Eingabe Zeiten'!CK:DJ,7,0))</f>
        <v>11:46:2,7</v>
      </c>
      <c r="U14" s="279">
        <f t="shared" si="4"/>
        <v>4.1614583333332567E-3</v>
      </c>
      <c r="V14" s="132" t="str">
        <f>IF(ISBLANK($B14),"",VLOOKUP($B14,'Eingabe Zeiten'!CK:DJ,8,0))</f>
        <v>0:0:0,0</v>
      </c>
      <c r="W14" s="117" t="str">
        <f t="shared" si="5"/>
        <v/>
      </c>
      <c r="X14" s="115" t="str">
        <f>IF(ISBLANK($B14),"",VLOOKUP($B14,'Eingabe Zeiten'!CK:DJ,10,0))</f>
        <v>13:22:17,97</v>
      </c>
      <c r="Y14" s="116" t="str">
        <f>IF(ISBLANK($B14),"",VLOOKUP($B14,'Eingabe Zeiten'!CK:DJ,11,0))</f>
        <v>13:27:18,44</v>
      </c>
      <c r="Z14" s="279">
        <f t="shared" si="6"/>
        <v>3.4776620370371436E-3</v>
      </c>
      <c r="AA14" s="132" t="str">
        <f>IF(ISBLANK($B14),"",VLOOKUP($B14,'Eingabe Zeiten'!CK:DJ,12,0))</f>
        <v>0:0:0,0</v>
      </c>
      <c r="AB14" s="117" t="str">
        <f t="shared" si="7"/>
        <v/>
      </c>
      <c r="AC14" s="115" t="str">
        <f>IF(ISBLANK($B14),"",VLOOKUP($B14,'Eingabe Zeiten'!CK:DJ,14,0))</f>
        <v>14:25:57,92</v>
      </c>
      <c r="AD14" s="116" t="str">
        <f>IF(ISBLANK($B14),"",VLOOKUP($B14,'Eingabe Zeiten'!CK:DJ,15,0))</f>
        <v>14:31:42,66</v>
      </c>
      <c r="AE14" s="279">
        <f t="shared" si="8"/>
        <v>3.9900462962964012E-3</v>
      </c>
      <c r="AF14" s="132" t="str">
        <f>IF(ISBLANK($B14),"",VLOOKUP($B14,'Eingabe Zeiten'!CK:DJ,16,0))</f>
        <v>0:0:0,0</v>
      </c>
      <c r="AG14" s="117" t="str">
        <f t="shared" si="9"/>
        <v/>
      </c>
      <c r="AH14" s="115" t="str">
        <f>IF(ISBLANK($B14),"",VLOOKUP($B14,'Eingabe Zeiten'!CK:DJ,18,0))</f>
        <v>15:1:29,80</v>
      </c>
      <c r="AI14" s="116" t="str">
        <f>IF(ISBLANK($B14),"",VLOOKUP($B14,'Eingabe Zeiten'!CK:DJ,19,0))</f>
        <v>15:6:31,75</v>
      </c>
      <c r="AJ14" s="279">
        <f t="shared" si="10"/>
        <v>3.4947916666666634E-3</v>
      </c>
      <c r="AK14" s="132" t="str">
        <f>IF(ISBLANK($B14),"",VLOOKUP($B14,'Eingabe Zeiten'!CK:DJ,20,0))</f>
        <v>0:0:0,0</v>
      </c>
      <c r="AL14" s="117" t="str">
        <f t="shared" si="11"/>
        <v/>
      </c>
      <c r="AM14" s="115" t="str">
        <f>IF(ISBLANK($B14),"",VLOOKUP($B14,'Eingabe Zeiten'!CK:DJ,22,0))</f>
        <v>0:0:0,0</v>
      </c>
      <c r="AN14" s="116" t="str">
        <f>IF(ISBLANK($B14),"",VLOOKUP($B14,'Eingabe Zeiten'!CK:DJ,23,0))</f>
        <v>0:0:0,0</v>
      </c>
      <c r="AO14" s="279">
        <f t="shared" si="16"/>
        <v>0</v>
      </c>
      <c r="AP14" s="132" t="str">
        <f>IF(ISBLANK($B14),"",VLOOKUP($B14,'Eingabe Zeiten'!CK:DJ,24,0))</f>
        <v>0:0:0,0</v>
      </c>
      <c r="AQ14" s="117" t="str">
        <f t="shared" si="13"/>
        <v/>
      </c>
      <c r="AR14" s="136" t="str">
        <f>IF(ISBLANK($B14),"",VLOOKUP($B14,'Eingabe Zeiten'!CK:DJ,26,0))</f>
        <v>0:0:0,0</v>
      </c>
      <c r="AS14" s="213"/>
      <c r="AT14" s="279">
        <f t="shared" si="14"/>
        <v>1.8668634259259409E-2</v>
      </c>
      <c r="AU14" s="139">
        <f t="shared" si="0"/>
        <v>0</v>
      </c>
      <c r="AV14" s="224">
        <f t="shared" si="17"/>
        <v>1.8668634259259409E-2</v>
      </c>
    </row>
    <row r="15" spans="2:48" s="214" customFormat="1" ht="27.75" customHeight="1">
      <c r="B15" s="118">
        <v>8</v>
      </c>
      <c r="C15" s="275">
        <f>IF(ISBLANK($B15),"",VLOOKUP($B15,Teilnehmer!$B$4:$K$199,2,0))</f>
        <v>3</v>
      </c>
      <c r="D15" s="276">
        <f>IF(ISBLANK($B15),"",VLOOKUP($B15,Teilnehmer!$B$4:$K$199,3,0))</f>
        <v>11</v>
      </c>
      <c r="E15" s="93" t="str">
        <f>IF(ISBLANK($B15),"",VLOOKUP($B15,Teilnehmer!$B$4:$K$199,4,0))</f>
        <v>Wallner Jakob</v>
      </c>
      <c r="F15" s="285" t="str">
        <f>IF(ISBLANK($B15),"",VLOOKUP($B15,Teilnehmer!$B$4:$K$199,5,0))</f>
        <v>-</v>
      </c>
      <c r="G15" s="288" t="str">
        <f>IF(ISBLANK($B15),"",VLOOKUP($B15,Teilnehmer!$B$4:$K$199,6,0))</f>
        <v>MSC Kitzbühel</v>
      </c>
      <c r="H15" s="93" t="str">
        <f>IF(ISBLANK($B15),"",VLOOKUP($B15,Teilnehmer!$B$4:$K$199,7,0))</f>
        <v>Pail Julia</v>
      </c>
      <c r="I15" s="285" t="str">
        <f>IF(ISBLANK($B15),"",VLOOKUP($B15,Teilnehmer!$B$4:$K$199,8,0))</f>
        <v>-</v>
      </c>
      <c r="J15" s="289" t="str">
        <f>IF(ISBLANK($B15),"",VLOOKUP($B15,Teilnehmer!$B$4:$K$199,9,0))</f>
        <v>MSC Kitzbühel</v>
      </c>
      <c r="K15" s="180" t="str">
        <f>IF(ISBLANK($B15),"",VLOOKUP($B15,Teilnehmer!$B$4:$K$199,10,0))</f>
        <v>Lancia Delta integrale 16v</v>
      </c>
      <c r="L15" s="212"/>
      <c r="M15" s="226">
        <f t="shared" si="1"/>
        <v>8</v>
      </c>
      <c r="N15" s="115" t="str">
        <f>IF(ISBLANK($B15),"",VLOOKUP($B15,'Eingabe Zeiten'!CK:DJ,2,0))</f>
        <v>11:1:56,61</v>
      </c>
      <c r="O15" s="116" t="str">
        <f>IF(ISBLANK($B15),"",VLOOKUP($B15,'Eingabe Zeiten'!CK:DJ,3,0))</f>
        <v>11:7:44,13</v>
      </c>
      <c r="P15" s="279">
        <f t="shared" si="2"/>
        <v>4.0222222222221493E-3</v>
      </c>
      <c r="Q15" s="132" t="str">
        <f>IF(ISBLANK($B15),"",VLOOKUP($B15,'Eingabe Zeiten'!CK:DJ,4,0))</f>
        <v>0:0:0,0</v>
      </c>
      <c r="R15" s="117" t="str">
        <f t="shared" si="3"/>
        <v/>
      </c>
      <c r="S15" s="115" t="str">
        <f>IF(ISBLANK($B15),"",VLOOKUP($B15,'Eingabe Zeiten'!CK:DJ,6,0))</f>
        <v>11:52:59,16</v>
      </c>
      <c r="T15" s="116" t="str">
        <f>IF(ISBLANK($B15),"",VLOOKUP($B15,'Eingabe Zeiten'!CK:DJ,7,0))</f>
        <v>11:59:33,51</v>
      </c>
      <c r="U15" s="279">
        <f t="shared" si="4"/>
        <v>4.5642361111110641E-3</v>
      </c>
      <c r="V15" s="132" t="str">
        <f>IF(ISBLANK($B15),"",VLOOKUP($B15,'Eingabe Zeiten'!CK:DJ,8,0))</f>
        <v>0:0:0,0</v>
      </c>
      <c r="W15" s="117" t="str">
        <f t="shared" si="5"/>
        <v/>
      </c>
      <c r="X15" s="115" t="str">
        <f>IF(ISBLANK($B15),"",VLOOKUP($B15,'Eingabe Zeiten'!CK:DJ,10,0))</f>
        <v>13:23:34,14</v>
      </c>
      <c r="Y15" s="116" t="str">
        <f>IF(ISBLANK($B15),"",VLOOKUP($B15,'Eingabe Zeiten'!CK:DJ,11,0))</f>
        <v>13:29:11,89</v>
      </c>
      <c r="Z15" s="279">
        <f t="shared" si="6"/>
        <v>3.9091435185185652E-3</v>
      </c>
      <c r="AA15" s="132" t="str">
        <f>IF(ISBLANK($B15),"",VLOOKUP($B15,'Eingabe Zeiten'!CK:DJ,12,0))</f>
        <v>0:0:0,0</v>
      </c>
      <c r="AB15" s="117" t="str">
        <f t="shared" si="7"/>
        <v/>
      </c>
      <c r="AC15" s="115" t="str">
        <f>IF(ISBLANK($B15),"",VLOOKUP($B15,'Eingabe Zeiten'!CK:DJ,14,0))</f>
        <v>14:26:27,39</v>
      </c>
      <c r="AD15" s="116" t="str">
        <f>IF(ISBLANK($B15),"",VLOOKUP($B15,'Eingabe Zeiten'!CK:DJ,15,0))</f>
        <v>14:32:37,56</v>
      </c>
      <c r="AE15" s="279">
        <f t="shared" si="8"/>
        <v>4.2843749999998959E-3</v>
      </c>
      <c r="AF15" s="132" t="str">
        <f>IF(ISBLANK($B15),"",VLOOKUP($B15,'Eingabe Zeiten'!CK:DJ,16,0))</f>
        <v>0:0:0,0</v>
      </c>
      <c r="AG15" s="117" t="str">
        <f t="shared" si="9"/>
        <v/>
      </c>
      <c r="AH15" s="115" t="str">
        <f>IF(ISBLANK($B15),"",VLOOKUP($B15,'Eingabe Zeiten'!CK:DJ,18,0))</f>
        <v>15:3:59,24</v>
      </c>
      <c r="AI15" s="116" t="str">
        <f>IF(ISBLANK($B15),"",VLOOKUP($B15,'Eingabe Zeiten'!CK:DJ,19,0))</f>
        <v>15:9:54,2</v>
      </c>
      <c r="AJ15" s="279">
        <f t="shared" si="10"/>
        <v>4.1083333333333805E-3</v>
      </c>
      <c r="AK15" s="132" t="str">
        <f>IF(ISBLANK($B15),"",VLOOKUP($B15,'Eingabe Zeiten'!CK:DJ,20,0))</f>
        <v>0:0:0,0</v>
      </c>
      <c r="AL15" s="117" t="str">
        <f t="shared" si="11"/>
        <v/>
      </c>
      <c r="AM15" s="115" t="str">
        <f>IF(ISBLANK($B15),"",VLOOKUP($B15,'Eingabe Zeiten'!CK:DJ,22,0))</f>
        <v>0:0:0,0</v>
      </c>
      <c r="AN15" s="116" t="str">
        <f>IF(ISBLANK($B15),"",VLOOKUP($B15,'Eingabe Zeiten'!CK:DJ,23,0))</f>
        <v>0:0:0,0</v>
      </c>
      <c r="AO15" s="279">
        <f t="shared" si="16"/>
        <v>0</v>
      </c>
      <c r="AP15" s="132" t="str">
        <f>IF(ISBLANK($B15),"",VLOOKUP($B15,'Eingabe Zeiten'!CK:DJ,24,0))</f>
        <v>0:0:0,0</v>
      </c>
      <c r="AQ15" s="117" t="str">
        <f t="shared" si="13"/>
        <v/>
      </c>
      <c r="AR15" s="136" t="str">
        <f>IF(ISBLANK($B15),"",VLOOKUP($B15,'Eingabe Zeiten'!CK:DJ,26,0))</f>
        <v>0:0:0,0</v>
      </c>
      <c r="AS15" s="213"/>
      <c r="AT15" s="279">
        <f t="shared" si="14"/>
        <v>2.0888310185185055E-2</v>
      </c>
      <c r="AU15" s="139">
        <f t="shared" si="0"/>
        <v>0</v>
      </c>
      <c r="AV15" s="224" t="s">
        <v>287</v>
      </c>
    </row>
    <row r="16" spans="2:48" s="214" customFormat="1" ht="27.75" customHeight="1">
      <c r="B16" s="118">
        <v>9</v>
      </c>
      <c r="C16" s="275">
        <f>IF(ISBLANK($B16),"",VLOOKUP($B16,Teilnehmer!$B$4:$K$199,2,0))</f>
        <v>3</v>
      </c>
      <c r="D16" s="276">
        <f>IF(ISBLANK($B16),"",VLOOKUP($B16,Teilnehmer!$B$4:$K$199,3,0))</f>
        <v>11</v>
      </c>
      <c r="E16" s="93" t="str">
        <f>IF(ISBLANK($B16),"",VLOOKUP($B16,Teilnehmer!$B$4:$K$199,4,0))</f>
        <v>Stütz Ralf</v>
      </c>
      <c r="F16" s="285" t="str">
        <f>IF(ISBLANK($B16),"",VLOOKUP($B16,Teilnehmer!$B$4:$K$199,5,0))</f>
        <v>-</v>
      </c>
      <c r="G16" s="288" t="str">
        <f>IF(ISBLANK($B16),"",VLOOKUP($B16,Teilnehmer!$B$4:$K$199,6,0))</f>
        <v>-</v>
      </c>
      <c r="H16" s="93" t="str">
        <f>IF(ISBLANK($B16),"",VLOOKUP($B16,Teilnehmer!$B$4:$K$199,7,0))</f>
        <v>Hertfelder Albert</v>
      </c>
      <c r="I16" s="285" t="str">
        <f>IF(ISBLANK($B16),"",VLOOKUP($B16,Teilnehmer!$B$4:$K$199,8,0))</f>
        <v>-</v>
      </c>
      <c r="J16" s="289" t="str">
        <f>IF(ISBLANK($B16),"",VLOOKUP($B16,Teilnehmer!$B$4:$K$199,9,0))</f>
        <v>-</v>
      </c>
      <c r="K16" s="180" t="str">
        <f>IF(ISBLANK($B16),"",VLOOKUP($B16,Teilnehmer!$B$4:$K$199,10,0))</f>
        <v>Mitsubishi Lancer EVO</v>
      </c>
      <c r="L16" s="212"/>
      <c r="M16" s="226">
        <f t="shared" si="1"/>
        <v>9</v>
      </c>
      <c r="N16" s="115" t="str">
        <f>IF(ISBLANK($B16),"",VLOOKUP($B16,'Eingabe Zeiten'!CK:DJ,2,0))</f>
        <v>::,</v>
      </c>
      <c r="O16" s="116" t="str">
        <f>IF(ISBLANK($B16),"",VLOOKUP($B16,'Eingabe Zeiten'!CK:DJ,3,0))</f>
        <v>::,</v>
      </c>
      <c r="P16" s="305">
        <v>1.0416666666666666E-2</v>
      </c>
      <c r="Q16" s="132" t="str">
        <f>IF(ISBLANK($B16),"",VLOOKUP($B16,'Eingabe Zeiten'!CK:DJ,4,0))</f>
        <v>0:0:0,0</v>
      </c>
      <c r="R16" s="117" t="str">
        <f t="shared" si="3"/>
        <v/>
      </c>
      <c r="S16" s="115" t="str">
        <f>IF(ISBLANK($B16),"",VLOOKUP($B16,'Eingabe Zeiten'!CK:DJ,6,0))</f>
        <v>::,</v>
      </c>
      <c r="T16" s="116" t="str">
        <f>IF(ISBLANK($B16),"",VLOOKUP($B16,'Eingabe Zeiten'!CK:DJ,7,0))</f>
        <v>::,</v>
      </c>
      <c r="U16" s="279" t="s">
        <v>287</v>
      </c>
      <c r="V16" s="132" t="str">
        <f>IF(ISBLANK($B16),"",VLOOKUP($B16,'Eingabe Zeiten'!CK:DJ,8,0))</f>
        <v>0:0:0,0</v>
      </c>
      <c r="W16" s="117" t="str">
        <f t="shared" si="5"/>
        <v/>
      </c>
      <c r="X16" s="115" t="str">
        <f>IF(ISBLANK($B16),"",VLOOKUP($B16,'Eingabe Zeiten'!CK:DJ,10,0))</f>
        <v>::,</v>
      </c>
      <c r="Y16" s="116" t="str">
        <f>IF(ISBLANK($B16),"",VLOOKUP($B16,'Eingabe Zeiten'!CK:DJ,11,0))</f>
        <v>::,</v>
      </c>
      <c r="Z16" s="279" t="s">
        <v>287</v>
      </c>
      <c r="AA16" s="132" t="str">
        <f>IF(ISBLANK($B16),"",VLOOKUP($B16,'Eingabe Zeiten'!CK:DJ,12,0))</f>
        <v>0:0:0,0</v>
      </c>
      <c r="AB16" s="117" t="str">
        <f t="shared" si="7"/>
        <v/>
      </c>
      <c r="AC16" s="115" t="str">
        <f>IF(ISBLANK($B16),"",VLOOKUP($B16,'Eingabe Zeiten'!CK:DJ,14,0))</f>
        <v>::,</v>
      </c>
      <c r="AD16" s="116" t="str">
        <f>IF(ISBLANK($B16),"",VLOOKUP($B16,'Eingabe Zeiten'!CK:DJ,15,0))</f>
        <v>::,</v>
      </c>
      <c r="AE16" s="279" t="s">
        <v>287</v>
      </c>
      <c r="AF16" s="132" t="str">
        <f>IF(ISBLANK($B16),"",VLOOKUP($B16,'Eingabe Zeiten'!CK:DJ,16,0))</f>
        <v>0:0:0,0</v>
      </c>
      <c r="AG16" s="117" t="str">
        <f t="shared" si="9"/>
        <v/>
      </c>
      <c r="AH16" s="115" t="str">
        <f>IF(ISBLANK($B16),"",VLOOKUP($B16,'Eingabe Zeiten'!CK:DJ,18,0))</f>
        <v>::,</v>
      </c>
      <c r="AI16" s="116" t="str">
        <f>IF(ISBLANK($B16),"",VLOOKUP($B16,'Eingabe Zeiten'!CK:DJ,19,0))</f>
        <v>::,</v>
      </c>
      <c r="AJ16" s="279" t="s">
        <v>287</v>
      </c>
      <c r="AK16" s="132" t="str">
        <f>IF(ISBLANK($B16),"",VLOOKUP($B16,'Eingabe Zeiten'!CK:DJ,20,0))</f>
        <v>0:0:0,0</v>
      </c>
      <c r="AL16" s="117" t="str">
        <f t="shared" si="11"/>
        <v/>
      </c>
      <c r="AM16" s="115" t="str">
        <f>IF(ISBLANK($B16),"",VLOOKUP($B16,'Eingabe Zeiten'!CK:DJ,22,0))</f>
        <v>0:0:0,0</v>
      </c>
      <c r="AN16" s="116" t="str">
        <f>IF(ISBLANK($B16),"",VLOOKUP($B16,'Eingabe Zeiten'!CK:DJ,23,0))</f>
        <v>0:0:0,0</v>
      </c>
      <c r="AO16" s="279">
        <f t="shared" si="16"/>
        <v>0</v>
      </c>
      <c r="AP16" s="132" t="str">
        <f>IF(ISBLANK($B16),"",VLOOKUP($B16,'Eingabe Zeiten'!CK:DJ,24,0))</f>
        <v>0:0:0,0</v>
      </c>
      <c r="AQ16" s="117" t="str">
        <f t="shared" si="13"/>
        <v/>
      </c>
      <c r="AR16" s="136" t="str">
        <f>IF(ISBLANK($B16),"",VLOOKUP($B16,'Eingabe Zeiten'!CK:DJ,26,0))</f>
        <v>0:0:0,0</v>
      </c>
      <c r="AS16" s="213"/>
      <c r="AT16" s="279" t="s">
        <v>287</v>
      </c>
      <c r="AU16" s="139">
        <f t="shared" si="0"/>
        <v>0</v>
      </c>
      <c r="AV16" s="224" t="s">
        <v>287</v>
      </c>
    </row>
    <row r="17" spans="2:48" s="214" customFormat="1" ht="27.75" customHeight="1">
      <c r="B17" s="118">
        <v>10</v>
      </c>
      <c r="C17" s="275">
        <f>IF(ISBLANK($B17),"",VLOOKUP($B17,Teilnehmer!$B$4:$K$199,2,0))</f>
        <v>3</v>
      </c>
      <c r="D17" s="276">
        <f>IF(ISBLANK($B17),"",VLOOKUP($B17,Teilnehmer!$B$4:$K$199,3,0))</f>
        <v>11</v>
      </c>
      <c r="E17" s="93" t="str">
        <f>IF(ISBLANK($B17),"",VLOOKUP($B17,Teilnehmer!$B$4:$K$199,4,0))</f>
        <v>Schweiger Andreas</v>
      </c>
      <c r="F17" s="285" t="str">
        <f>IF(ISBLANK($B17),"",VLOOKUP($B17,Teilnehmer!$B$4:$K$199,5,0))</f>
        <v>-</v>
      </c>
      <c r="G17" s="288" t="str">
        <f>IF(ISBLANK($B17),"",VLOOKUP($B17,Teilnehmer!$B$4:$K$199,6,0))</f>
        <v>MSC Emmersdorf</v>
      </c>
      <c r="H17" s="93" t="str">
        <f>IF(ISBLANK($B17),"",VLOOKUP($B17,Teilnehmer!$B$4:$K$199,7,0))</f>
        <v>Strobl Philip</v>
      </c>
      <c r="I17" s="285" t="str">
        <f>IF(ISBLANK($B17),"",VLOOKUP($B17,Teilnehmer!$B$4:$K$199,8,0))</f>
        <v>-</v>
      </c>
      <c r="J17" s="289" t="str">
        <f>IF(ISBLANK($B17),"",VLOOKUP($B17,Teilnehmer!$B$4:$K$199,9,0))</f>
        <v>SCC Grünthal</v>
      </c>
      <c r="K17" s="180" t="str">
        <f>IF(ISBLANK($B17),"",VLOOKUP($B17,Teilnehmer!$B$4:$K$199,10,0))</f>
        <v>Mitsubishi Lancer Evo 7</v>
      </c>
      <c r="L17" s="212"/>
      <c r="M17" s="226">
        <f t="shared" si="1"/>
        <v>10</v>
      </c>
      <c r="N17" s="115" t="str">
        <f>IF(ISBLANK($B17),"",VLOOKUP($B17,'Eingabe Zeiten'!CK:DJ,2,0))</f>
        <v>11:3:17,62</v>
      </c>
      <c r="O17" s="116" t="str">
        <f>IF(ISBLANK($B17),"",VLOOKUP($B17,'Eingabe Zeiten'!CK:DJ,3,0))</f>
        <v>11:8:13,89</v>
      </c>
      <c r="P17" s="279">
        <f t="shared" si="2"/>
        <v>3.4290509259258806E-3</v>
      </c>
      <c r="Q17" s="132" t="str">
        <f>IF(ISBLANK($B17),"",VLOOKUP($B17,'Eingabe Zeiten'!CK:DJ,4,0))</f>
        <v>0:0:0,0</v>
      </c>
      <c r="R17" s="117" t="str">
        <f t="shared" si="3"/>
        <v/>
      </c>
      <c r="S17" s="115" t="str">
        <f>IF(ISBLANK($B17),"",VLOOKUP($B17,'Eingabe Zeiten'!CK:DJ,6,0))</f>
        <v>11:53:28,98</v>
      </c>
      <c r="T17" s="116" t="str">
        <f>IF(ISBLANK($B17),"",VLOOKUP($B17,'Eingabe Zeiten'!CK:DJ,7,0))</f>
        <v>11:59:10,33</v>
      </c>
      <c r="U17" s="279">
        <f t="shared" si="4"/>
        <v>3.9508101851851718E-3</v>
      </c>
      <c r="V17" s="132" t="str">
        <f>IF(ISBLANK($B17),"",VLOOKUP($B17,'Eingabe Zeiten'!CK:DJ,8,0))</f>
        <v>0:0:0,0</v>
      </c>
      <c r="W17" s="117" t="str">
        <f t="shared" si="5"/>
        <v/>
      </c>
      <c r="X17" s="115" t="str">
        <f>IF(ISBLANK($B17),"",VLOOKUP($B17,'Eingabe Zeiten'!CK:DJ,10,0))</f>
        <v>13:24:31,10</v>
      </c>
      <c r="Y17" s="116" t="str">
        <f>IF(ISBLANK($B17),"",VLOOKUP($B17,'Eingabe Zeiten'!CK:DJ,11,0))</f>
        <v>13:29:25,40</v>
      </c>
      <c r="Z17" s="279">
        <f t="shared" si="6"/>
        <v>3.4062500000000551E-3</v>
      </c>
      <c r="AA17" s="132" t="str">
        <f>IF(ISBLANK($B17),"",VLOOKUP($B17,'Eingabe Zeiten'!CK:DJ,12,0))</f>
        <v>0:0:0,0</v>
      </c>
      <c r="AB17" s="117" t="str">
        <f t="shared" si="7"/>
        <v/>
      </c>
      <c r="AC17" s="115" t="str">
        <f>IF(ISBLANK($B17),"",VLOOKUP($B17,'Eingabe Zeiten'!CK:DJ,14,0))</f>
        <v>14:30:28,48</v>
      </c>
      <c r="AD17" s="116" t="str">
        <f>IF(ISBLANK($B17),"",VLOOKUP($B17,'Eingabe Zeiten'!CK:DJ,15,0))</f>
        <v>14:36:4,79</v>
      </c>
      <c r="AE17" s="279">
        <f t="shared" si="8"/>
        <v>3.8924768518519004E-3</v>
      </c>
      <c r="AF17" s="132" t="str">
        <f>IF(ISBLANK($B17),"",VLOOKUP($B17,'Eingabe Zeiten'!CK:DJ,16,0))</f>
        <v>0:0:0,0</v>
      </c>
      <c r="AG17" s="117" t="str">
        <f t="shared" si="9"/>
        <v/>
      </c>
      <c r="AH17" s="115" t="str">
        <f>IF(ISBLANK($B17),"",VLOOKUP($B17,'Eingabe Zeiten'!CK:DJ,18,0))</f>
        <v>15:4:53,68</v>
      </c>
      <c r="AI17" s="116" t="str">
        <f>IF(ISBLANK($B17),"",VLOOKUP($B17,'Eingabe Zeiten'!CK:DJ,19,0))</f>
        <v>15:9:47,64</v>
      </c>
      <c r="AJ17" s="279">
        <f t="shared" si="10"/>
        <v>3.4023148148148996E-3</v>
      </c>
      <c r="AK17" s="132" t="str">
        <f>IF(ISBLANK($B17),"",VLOOKUP($B17,'Eingabe Zeiten'!CK:DJ,20,0))</f>
        <v>0:0:30,0</v>
      </c>
      <c r="AL17" s="117" t="str">
        <f t="shared" si="11"/>
        <v/>
      </c>
      <c r="AM17" s="115" t="str">
        <f>IF(ISBLANK($B17),"",VLOOKUP($B17,'Eingabe Zeiten'!CK:DJ,22,0))</f>
        <v>0:0:0,0</v>
      </c>
      <c r="AN17" s="116" t="str">
        <f>IF(ISBLANK($B17),"",VLOOKUP($B17,'Eingabe Zeiten'!CK:DJ,23,0))</f>
        <v>0:0:0,0</v>
      </c>
      <c r="AO17" s="279">
        <f t="shared" si="16"/>
        <v>0</v>
      </c>
      <c r="AP17" s="132" t="str">
        <f>IF(ISBLANK($B17),"",VLOOKUP($B17,'Eingabe Zeiten'!CK:DJ,24,0))</f>
        <v>0:0:0,0</v>
      </c>
      <c r="AQ17" s="117" t="str">
        <f t="shared" si="13"/>
        <v/>
      </c>
      <c r="AR17" s="136" t="str">
        <f>IF(ISBLANK($B17),"",VLOOKUP($B17,'Eingabe Zeiten'!CK:DJ,26,0))</f>
        <v>0:0:0,0</v>
      </c>
      <c r="AS17" s="213"/>
      <c r="AT17" s="279">
        <f t="shared" si="14"/>
        <v>1.8080902777777907E-2</v>
      </c>
      <c r="AU17" s="139">
        <f t="shared" si="0"/>
        <v>3.4722222222222224E-4</v>
      </c>
      <c r="AV17" s="224">
        <f t="shared" si="17"/>
        <v>1.8428125000000128E-2</v>
      </c>
    </row>
    <row r="18" spans="2:48" s="214" customFormat="1" ht="27.75" customHeight="1">
      <c r="B18" s="118">
        <v>11</v>
      </c>
      <c r="C18" s="275">
        <f>IF(ISBLANK($B18),"",VLOOKUP($B18,Teilnehmer!$B$4:$K$199,2,0))</f>
        <v>2</v>
      </c>
      <c r="D18" s="276">
        <f>IF(ISBLANK($B18),"",VLOOKUP($B18,Teilnehmer!$B$4:$K$199,3,0))</f>
        <v>10</v>
      </c>
      <c r="E18" s="93" t="str">
        <f>IF(ISBLANK($B18),"",VLOOKUP($B18,Teilnehmer!$B$4:$K$199,4,0))</f>
        <v>Wundsam Sebastian</v>
      </c>
      <c r="F18" s="285">
        <f>IF(ISBLANK($B18),"",VLOOKUP($B18,Teilnehmer!$B$4:$K$199,5,0))</f>
        <v>14309</v>
      </c>
      <c r="G18" s="288" t="str">
        <f>IF(ISBLANK($B18),"",VLOOKUP($B18,Teilnehmer!$B$4:$K$199,6,0))</f>
        <v>SWF Weidwies</v>
      </c>
      <c r="H18" s="93" t="str">
        <f>IF(ISBLANK($B18),"",VLOOKUP($B18,Teilnehmer!$B$4:$K$199,7,0))</f>
        <v>Summer Sebastian</v>
      </c>
      <c r="I18" s="285">
        <f>IF(ISBLANK($B18),"",VLOOKUP($B18,Teilnehmer!$B$4:$K$199,8,0))</f>
        <v>16294</v>
      </c>
      <c r="J18" s="289" t="str">
        <f>IF(ISBLANK($B18),"",VLOOKUP($B18,Teilnehmer!$B$4:$K$199,9,0))</f>
        <v>SWF Weidwies</v>
      </c>
      <c r="K18" s="180" t="str">
        <f>IF(ISBLANK($B18),"",VLOOKUP($B18,Teilnehmer!$B$4:$K$199,10,0))</f>
        <v>BMW E36 M3</v>
      </c>
      <c r="L18" s="212"/>
      <c r="M18" s="226">
        <f t="shared" si="1"/>
        <v>11</v>
      </c>
      <c r="N18" s="115" t="str">
        <f>IF(ISBLANK($B18),"",VLOOKUP($B18,'Eingabe Zeiten'!CK:DJ,2,0))</f>
        <v>11:5:23,62</v>
      </c>
      <c r="O18" s="116" t="str">
        <f>IF(ISBLANK($B18),"",VLOOKUP($B18,'Eingabe Zeiten'!CK:DJ,3,0))</f>
        <v>11:11:3,68</v>
      </c>
      <c r="P18" s="279">
        <f t="shared" si="2"/>
        <v>3.9358796296296017E-3</v>
      </c>
      <c r="Q18" s="132" t="str">
        <f>IF(ISBLANK($B18),"",VLOOKUP($B18,'Eingabe Zeiten'!CK:DJ,4,0))</f>
        <v>0:0:0,0</v>
      </c>
      <c r="R18" s="117" t="str">
        <f t="shared" si="3"/>
        <v/>
      </c>
      <c r="S18" s="115" t="str">
        <f>IF(ISBLANK($B18),"",VLOOKUP($B18,'Eingabe Zeiten'!CK:DJ,6,0))</f>
        <v>11:53:58,85</v>
      </c>
      <c r="T18" s="116" t="str">
        <f>IF(ISBLANK($B18),"",VLOOKUP($B18,'Eingabe Zeiten'!CK:DJ,7,0))</f>
        <v>12:0:9,16</v>
      </c>
      <c r="U18" s="279">
        <f t="shared" si="4"/>
        <v>4.2859953703703879E-3</v>
      </c>
      <c r="V18" s="132" t="str">
        <f>IF(ISBLANK($B18),"",VLOOKUP($B18,'Eingabe Zeiten'!CK:DJ,8,0))</f>
        <v>0:0:0,0</v>
      </c>
      <c r="W18" s="117" t="str">
        <f t="shared" si="5"/>
        <v/>
      </c>
      <c r="X18" s="115" t="str">
        <f>IF(ISBLANK($B18),"",VLOOKUP($B18,'Eingabe Zeiten'!CK:DJ,10,0))</f>
        <v>13:25:58,77</v>
      </c>
      <c r="Y18" s="116" t="str">
        <f>IF(ISBLANK($B18),"",VLOOKUP($B18,'Eingabe Zeiten'!CK:DJ,11,0))</f>
        <v>13:31:33,68</v>
      </c>
      <c r="Z18" s="279">
        <f t="shared" si="6"/>
        <v>3.8762731481482016E-3</v>
      </c>
      <c r="AA18" s="132" t="str">
        <f>IF(ISBLANK($B18),"",VLOOKUP($B18,'Eingabe Zeiten'!CK:DJ,12,0))</f>
        <v>0:0:0,0</v>
      </c>
      <c r="AB18" s="117" t="str">
        <f t="shared" si="7"/>
        <v/>
      </c>
      <c r="AC18" s="115" t="str">
        <f>IF(ISBLANK($B18),"",VLOOKUP($B18,'Eingabe Zeiten'!CK:DJ,14,0))</f>
        <v>14:30:44,17</v>
      </c>
      <c r="AD18" s="116" t="str">
        <f>IF(ISBLANK($B18),"",VLOOKUP($B18,'Eingabe Zeiten'!CK:DJ,15,0))</f>
        <v>::,</v>
      </c>
      <c r="AE18" s="305">
        <v>1.0416666666666666E-2</v>
      </c>
      <c r="AF18" s="132" t="str">
        <f>IF(ISBLANK($B18),"",VLOOKUP($B18,'Eingabe Zeiten'!CK:DJ,16,0))</f>
        <v>0:0:0,0</v>
      </c>
      <c r="AG18" s="117" t="str">
        <f t="shared" si="9"/>
        <v/>
      </c>
      <c r="AH18" s="115" t="str">
        <f>IF(ISBLANK($B18),"",VLOOKUP($B18,'Eingabe Zeiten'!CK:DJ,18,0))</f>
        <v>::,</v>
      </c>
      <c r="AI18" s="116" t="str">
        <f>IF(ISBLANK($B18),"",VLOOKUP($B18,'Eingabe Zeiten'!CK:DJ,19,0))</f>
        <v>::,</v>
      </c>
      <c r="AJ18" s="279" t="s">
        <v>287</v>
      </c>
      <c r="AK18" s="132" t="str">
        <f>IF(ISBLANK($B18),"",VLOOKUP($B18,'Eingabe Zeiten'!CK:DJ,20,0))</f>
        <v>0:0:0,0</v>
      </c>
      <c r="AL18" s="117" t="str">
        <f t="shared" si="11"/>
        <v/>
      </c>
      <c r="AM18" s="115" t="str">
        <f>IF(ISBLANK($B18),"",VLOOKUP($B18,'Eingabe Zeiten'!CK:DJ,22,0))</f>
        <v>0:0:0,0</v>
      </c>
      <c r="AN18" s="116" t="str">
        <f>IF(ISBLANK($B18),"",VLOOKUP($B18,'Eingabe Zeiten'!CK:DJ,23,0))</f>
        <v>0:0:0,0</v>
      </c>
      <c r="AO18" s="279">
        <f t="shared" si="16"/>
        <v>0</v>
      </c>
      <c r="AP18" s="132" t="str">
        <f>IF(ISBLANK($B18),"",VLOOKUP($B18,'Eingabe Zeiten'!CK:DJ,24,0))</f>
        <v>0:0:0,0</v>
      </c>
      <c r="AQ18" s="117" t="str">
        <f t="shared" si="13"/>
        <v/>
      </c>
      <c r="AR18" s="136" t="str">
        <f>IF(ISBLANK($B18),"",VLOOKUP($B18,'Eingabe Zeiten'!CK:DJ,26,0))</f>
        <v>0:0:0,0</v>
      </c>
      <c r="AS18" s="213"/>
      <c r="AT18" s="279" t="s">
        <v>287</v>
      </c>
      <c r="AU18" s="139">
        <f t="shared" si="0"/>
        <v>0</v>
      </c>
      <c r="AV18" s="224" t="s">
        <v>287</v>
      </c>
    </row>
    <row r="19" spans="2:48" s="214" customFormat="1" ht="27.75" customHeight="1">
      <c r="B19" s="118">
        <v>12</v>
      </c>
      <c r="C19" s="275">
        <f>IF(ISBLANK($B19),"",VLOOKUP($B19,Teilnehmer!$B$4:$K$199,2,0))</f>
        <v>2</v>
      </c>
      <c r="D19" s="276">
        <f>IF(ISBLANK($B19),"",VLOOKUP($B19,Teilnehmer!$B$4:$K$199,3,0))</f>
        <v>10</v>
      </c>
      <c r="E19" s="93" t="str">
        <f>IF(ISBLANK($B19),"",VLOOKUP($B19,Teilnehmer!$B$4:$K$199,4,0))</f>
        <v>Ederer Marcus</v>
      </c>
      <c r="F19" s="285" t="str">
        <f>IF(ISBLANK($B19),"",VLOOKUP($B19,Teilnehmer!$B$4:$K$199,5,0))</f>
        <v>-</v>
      </c>
      <c r="G19" s="288" t="str">
        <f>IF(ISBLANK($B19),"",VLOOKUP($B19,Teilnehmer!$B$4:$K$199,6,0))</f>
        <v>MSC Mamming</v>
      </c>
      <c r="H19" s="93" t="str">
        <f>IF(ISBLANK($B19),"",VLOOKUP($B19,Teilnehmer!$B$4:$K$199,7,0))</f>
        <v>Winnik Stella</v>
      </c>
      <c r="I19" s="285" t="str">
        <f>IF(ISBLANK($B19),"",VLOOKUP($B19,Teilnehmer!$B$4:$K$199,8,0))</f>
        <v>.</v>
      </c>
      <c r="J19" s="289" t="str">
        <f>IF(ISBLANK($B19),"",VLOOKUP($B19,Teilnehmer!$B$4:$K$199,9,0))</f>
        <v>MSC Mamming</v>
      </c>
      <c r="K19" s="180" t="str">
        <f>IF(ISBLANK($B19),"",VLOOKUP($B19,Teilnehmer!$B$4:$K$199,10,0))</f>
        <v>BMW M3</v>
      </c>
      <c r="L19" s="212"/>
      <c r="M19" s="226">
        <f t="shared" si="1"/>
        <v>12</v>
      </c>
      <c r="N19" s="115" t="str">
        <f>IF(ISBLANK($B19),"",VLOOKUP($B19,'Eingabe Zeiten'!CK:DJ,2,0))</f>
        <v>11:6:4,78</v>
      </c>
      <c r="O19" s="116" t="str">
        <f>IF(ISBLANK($B19),"",VLOOKUP($B19,'Eingabe Zeiten'!CK:DJ,3,0))</f>
        <v>11:10:57,60</v>
      </c>
      <c r="P19" s="279">
        <f t="shared" si="2"/>
        <v>3.3891203703703687E-3</v>
      </c>
      <c r="Q19" s="132" t="str">
        <f>IF(ISBLANK($B19),"",VLOOKUP($B19,'Eingabe Zeiten'!CK:DJ,4,0))</f>
        <v>0:0:0,0</v>
      </c>
      <c r="R19" s="117" t="str">
        <f t="shared" si="3"/>
        <v/>
      </c>
      <c r="S19" s="115" t="str">
        <f>IF(ISBLANK($B19),"",VLOOKUP($B19,'Eingabe Zeiten'!CK:DJ,6,0))</f>
        <v>11:59:38,55</v>
      </c>
      <c r="T19" s="116" t="str">
        <f>IF(ISBLANK($B19),"",VLOOKUP($B19,'Eingabe Zeiten'!CK:DJ,7,0))</f>
        <v>12:5:36,35</v>
      </c>
      <c r="U19" s="279">
        <f t="shared" si="4"/>
        <v>4.1412037037036331E-3</v>
      </c>
      <c r="V19" s="132" t="str">
        <f>IF(ISBLANK($B19),"",VLOOKUP($B19,'Eingabe Zeiten'!CK:DJ,8,0))</f>
        <v>0:0:0,0</v>
      </c>
      <c r="W19" s="117" t="str">
        <f t="shared" si="5"/>
        <v/>
      </c>
      <c r="X19" s="115" t="str">
        <f>IF(ISBLANK($B19),"",VLOOKUP($B19,'Eingabe Zeiten'!CK:DJ,10,0))</f>
        <v>13:26:44,40</v>
      </c>
      <c r="Y19" s="116" t="str">
        <f>IF(ISBLANK($B19),"",VLOOKUP($B19,'Eingabe Zeiten'!CK:DJ,11,0))</f>
        <v>13:31:37,16</v>
      </c>
      <c r="Z19" s="279">
        <f t="shared" si="6"/>
        <v>3.3884259259259197E-3</v>
      </c>
      <c r="AA19" s="132" t="str">
        <f>IF(ISBLANK($B19),"",VLOOKUP($B19,'Eingabe Zeiten'!CK:DJ,12,0))</f>
        <v>0:0:0,0</v>
      </c>
      <c r="AB19" s="117" t="str">
        <f t="shared" si="7"/>
        <v/>
      </c>
      <c r="AC19" s="115" t="str">
        <f>IF(ISBLANK($B19),"",VLOOKUP($B19,'Eingabe Zeiten'!CK:DJ,14,0))</f>
        <v>14:31:1,69</v>
      </c>
      <c r="AD19" s="116" t="str">
        <f>IF(ISBLANK($B19),"",VLOOKUP($B19,'Eingabe Zeiten'!CK:DJ,15,0))</f>
        <v>14:36:56,23</v>
      </c>
      <c r="AE19" s="279">
        <f t="shared" si="8"/>
        <v>4.103472222222293E-3</v>
      </c>
      <c r="AF19" s="132" t="str">
        <f>IF(ISBLANK($B19),"",VLOOKUP($B19,'Eingabe Zeiten'!CK:DJ,16,0))</f>
        <v>0:0:0,0</v>
      </c>
      <c r="AG19" s="117" t="str">
        <f t="shared" si="9"/>
        <v/>
      </c>
      <c r="AH19" s="115" t="str">
        <f>IF(ISBLANK($B19),"",VLOOKUP($B19,'Eingabe Zeiten'!CK:DJ,18,0))</f>
        <v>15:5:47,76</v>
      </c>
      <c r="AI19" s="116" t="str">
        <f>IF(ISBLANK($B19),"",VLOOKUP($B19,'Eingabe Zeiten'!CK:DJ,19,0))</f>
        <v>15:10:36,65</v>
      </c>
      <c r="AJ19" s="279">
        <f t="shared" si="10"/>
        <v>3.3436342592592094E-3</v>
      </c>
      <c r="AK19" s="132" t="str">
        <f>IF(ISBLANK($B19),"",VLOOKUP($B19,'Eingabe Zeiten'!CK:DJ,20,0))</f>
        <v>0:0:0,0</v>
      </c>
      <c r="AL19" s="117" t="str">
        <f t="shared" si="11"/>
        <v/>
      </c>
      <c r="AM19" s="115" t="str">
        <f>IF(ISBLANK($B19),"",VLOOKUP($B19,'Eingabe Zeiten'!CK:DJ,22,0))</f>
        <v>0:0:0,0</v>
      </c>
      <c r="AN19" s="116" t="str">
        <f>IF(ISBLANK($B19),"",VLOOKUP($B19,'Eingabe Zeiten'!CK:DJ,23,0))</f>
        <v>0:0:0,0</v>
      </c>
      <c r="AO19" s="279">
        <f t="shared" si="16"/>
        <v>0</v>
      </c>
      <c r="AP19" s="132" t="str">
        <f>IF(ISBLANK($B19),"",VLOOKUP($B19,'Eingabe Zeiten'!CK:DJ,24,0))</f>
        <v>0:0:0,0</v>
      </c>
      <c r="AQ19" s="117" t="str">
        <f t="shared" si="13"/>
        <v/>
      </c>
      <c r="AR19" s="136" t="str">
        <f>IF(ISBLANK($B19),"",VLOOKUP($B19,'Eingabe Zeiten'!CK:DJ,26,0))</f>
        <v>0:0:0,0</v>
      </c>
      <c r="AS19" s="213"/>
      <c r="AT19" s="279">
        <f t="shared" si="14"/>
        <v>1.8365856481481424E-2</v>
      </c>
      <c r="AU19" s="139">
        <f t="shared" si="0"/>
        <v>0</v>
      </c>
      <c r="AV19" s="224">
        <f t="shared" si="17"/>
        <v>1.8365856481481424E-2</v>
      </c>
    </row>
    <row r="20" spans="2:48" s="214" customFormat="1" ht="27.75" customHeight="1">
      <c r="B20" s="118">
        <v>13</v>
      </c>
      <c r="C20" s="275">
        <f>IF(ISBLANK($B20),"",VLOOKUP($B20,Teilnehmer!$B$4:$K$199,2,0))</f>
        <v>2</v>
      </c>
      <c r="D20" s="276">
        <f>IF(ISBLANK($B20),"",VLOOKUP($B20,Teilnehmer!$B$4:$K$199,3,0))</f>
        <v>10</v>
      </c>
      <c r="E20" s="93" t="str">
        <f>IF(ISBLANK($B20),"",VLOOKUP($B20,Teilnehmer!$B$4:$K$199,4,0))</f>
        <v>Köhler Fritz</v>
      </c>
      <c r="F20" s="285" t="str">
        <f>IF(ISBLANK($B20),"",VLOOKUP($B20,Teilnehmer!$B$4:$K$199,5,0))</f>
        <v>-</v>
      </c>
      <c r="G20" s="288" t="str">
        <f>IF(ISBLANK($B20),"",VLOOKUP($B20,Teilnehmer!$B$4:$K$199,6,0))</f>
        <v>-</v>
      </c>
      <c r="H20" s="93" t="str">
        <f>IF(ISBLANK($B20),"",VLOOKUP($B20,Teilnehmer!$B$4:$K$199,7,0))</f>
        <v>Hägele Petra</v>
      </c>
      <c r="I20" s="285" t="str">
        <f>IF(ISBLANK($B20),"",VLOOKUP($B20,Teilnehmer!$B$4:$K$199,8,0))</f>
        <v>-</v>
      </c>
      <c r="J20" s="289" t="str">
        <f>IF(ISBLANK($B20),"",VLOOKUP($B20,Teilnehmer!$B$4:$K$199,9,0))</f>
        <v>-</v>
      </c>
      <c r="K20" s="180" t="str">
        <f>IF(ISBLANK($B20),"",VLOOKUP($B20,Teilnehmer!$B$4:$K$199,10,0))</f>
        <v>BMW M3 e30</v>
      </c>
      <c r="L20" s="212"/>
      <c r="M20" s="226">
        <f t="shared" si="1"/>
        <v>13</v>
      </c>
      <c r="N20" s="115" t="str">
        <f>IF(ISBLANK($B20),"",VLOOKUP($B20,'Eingabe Zeiten'!CK:DJ,2,0))</f>
        <v>11:8:18,48</v>
      </c>
      <c r="O20" s="116" t="str">
        <f>IF(ISBLANK($B20),"",VLOOKUP($B20,'Eingabe Zeiten'!CK:DJ,3,0))</f>
        <v>11:13:15,50</v>
      </c>
      <c r="P20" s="279">
        <f t="shared" si="2"/>
        <v>3.4377314814814652E-3</v>
      </c>
      <c r="Q20" s="132" t="str">
        <f>IF(ISBLANK($B20),"",VLOOKUP($B20,'Eingabe Zeiten'!CK:DJ,4,0))</f>
        <v>0:0:0,0</v>
      </c>
      <c r="R20" s="117" t="str">
        <f t="shared" si="3"/>
        <v/>
      </c>
      <c r="S20" s="115" t="str">
        <f>IF(ISBLANK($B20),"",VLOOKUP($B20,'Eingabe Zeiten'!CK:DJ,6,0))</f>
        <v>12:0:15,19</v>
      </c>
      <c r="T20" s="116" t="str">
        <f>IF(ISBLANK($B20),"",VLOOKUP($B20,'Eingabe Zeiten'!CK:DJ,7,0))</f>
        <v>12:6:30,99</v>
      </c>
      <c r="U20" s="279">
        <f t="shared" si="4"/>
        <v>4.349537037036999E-3</v>
      </c>
      <c r="V20" s="132" t="str">
        <f>IF(ISBLANK($B20),"",VLOOKUP($B20,'Eingabe Zeiten'!CK:DJ,8,0))</f>
        <v>0:0:0,0</v>
      </c>
      <c r="W20" s="117" t="str">
        <f t="shared" si="5"/>
        <v/>
      </c>
      <c r="X20" s="115" t="str">
        <f>IF(ISBLANK($B20),"",VLOOKUP($B20,'Eingabe Zeiten'!CK:DJ,10,0))</f>
        <v>13:27:14,13</v>
      </c>
      <c r="Y20" s="116" t="str">
        <f>IF(ISBLANK($B20),"",VLOOKUP($B20,'Eingabe Zeiten'!CK:DJ,11,0))</f>
        <v>13:32:8,70</v>
      </c>
      <c r="Z20" s="279">
        <f t="shared" si="6"/>
        <v>3.4093749999999368E-3</v>
      </c>
      <c r="AA20" s="132" t="str">
        <f>IF(ISBLANK($B20),"",VLOOKUP($B20,'Eingabe Zeiten'!CK:DJ,12,0))</f>
        <v>0:0:0,0</v>
      </c>
      <c r="AB20" s="117" t="str">
        <f t="shared" si="7"/>
        <v/>
      </c>
      <c r="AC20" s="115" t="str">
        <f>IF(ISBLANK($B20),"",VLOOKUP($B20,'Eingabe Zeiten'!CK:DJ,14,0))</f>
        <v>14:31:19,38</v>
      </c>
      <c r="AD20" s="116" t="str">
        <f>IF(ISBLANK($B20),"",VLOOKUP($B20,'Eingabe Zeiten'!CK:DJ,15,0))</f>
        <v>14:37:13,7</v>
      </c>
      <c r="AE20" s="279">
        <f t="shared" si="8"/>
        <v>4.1009259259259245E-3</v>
      </c>
      <c r="AF20" s="132" t="str">
        <f>IF(ISBLANK($B20),"",VLOOKUP($B20,'Eingabe Zeiten'!CK:DJ,16,0))</f>
        <v>0:0:0,0</v>
      </c>
      <c r="AG20" s="117" t="str">
        <f t="shared" si="9"/>
        <v/>
      </c>
      <c r="AH20" s="115" t="str">
        <f>IF(ISBLANK($B20),"",VLOOKUP($B20,'Eingabe Zeiten'!CK:DJ,18,0))</f>
        <v>15:7:11,70</v>
      </c>
      <c r="AI20" s="116" t="str">
        <f>IF(ISBLANK($B20),"",VLOOKUP($B20,'Eingabe Zeiten'!CK:DJ,19,0))</f>
        <v>15:12:1,49</v>
      </c>
      <c r="AJ20" s="279">
        <f t="shared" si="10"/>
        <v>3.3540509259259998E-3</v>
      </c>
      <c r="AK20" s="132" t="str">
        <f>IF(ISBLANK($B20),"",VLOOKUP($B20,'Eingabe Zeiten'!CK:DJ,20,0))</f>
        <v>0:0:30,0</v>
      </c>
      <c r="AL20" s="117" t="str">
        <f t="shared" si="11"/>
        <v/>
      </c>
      <c r="AM20" s="115" t="str">
        <f>IF(ISBLANK($B20),"",VLOOKUP($B20,'Eingabe Zeiten'!CK:DJ,22,0))</f>
        <v>0:0:0,0</v>
      </c>
      <c r="AN20" s="116" t="str">
        <f>IF(ISBLANK($B20),"",VLOOKUP($B20,'Eingabe Zeiten'!CK:DJ,23,0))</f>
        <v>0:0:0,0</v>
      </c>
      <c r="AO20" s="279">
        <f t="shared" si="16"/>
        <v>0</v>
      </c>
      <c r="AP20" s="132" t="str">
        <f>IF(ISBLANK($B20),"",VLOOKUP($B20,'Eingabe Zeiten'!CK:DJ,24,0))</f>
        <v>0:0:0,0</v>
      </c>
      <c r="AQ20" s="117" t="str">
        <f t="shared" si="13"/>
        <v/>
      </c>
      <c r="AR20" s="136" t="str">
        <f>IF(ISBLANK($B20),"",VLOOKUP($B20,'Eingabe Zeiten'!CK:DJ,26,0))</f>
        <v>0:0:0,0</v>
      </c>
      <c r="AS20" s="213"/>
      <c r="AT20" s="279">
        <f t="shared" si="14"/>
        <v>1.8651620370370325E-2</v>
      </c>
      <c r="AU20" s="139">
        <f t="shared" si="0"/>
        <v>3.4722222222222224E-4</v>
      </c>
      <c r="AV20" s="224">
        <f t="shared" si="17"/>
        <v>1.8998842592592546E-2</v>
      </c>
    </row>
    <row r="21" spans="2:48" s="214" customFormat="1" ht="27.75" customHeight="1">
      <c r="B21" s="118">
        <v>15</v>
      </c>
      <c r="C21" s="275">
        <f>IF(ISBLANK($B21),"",VLOOKUP($B21,Teilnehmer!$B$4:$K$199,2,0))</f>
        <v>2</v>
      </c>
      <c r="D21" s="276">
        <f>IF(ISBLANK($B21),"",VLOOKUP($B21,Teilnehmer!$B$4:$K$199,3,0))</f>
        <v>10</v>
      </c>
      <c r="E21" s="93" t="str">
        <f>IF(ISBLANK($B21),"",VLOOKUP($B21,Teilnehmer!$B$4:$K$199,4,0))</f>
        <v>Oest Marc</v>
      </c>
      <c r="F21" s="285" t="str">
        <f>IF(ISBLANK($B21),"",VLOOKUP($B21,Teilnehmer!$B$4:$K$199,5,0))</f>
        <v>-</v>
      </c>
      <c r="G21" s="288" t="str">
        <f>IF(ISBLANK($B21),"",VLOOKUP($B21,Teilnehmer!$B$4:$K$199,6,0))</f>
        <v>MSC Ramberg</v>
      </c>
      <c r="H21" s="93" t="str">
        <f>IF(ISBLANK($B21),"",VLOOKUP($B21,Teilnehmer!$B$4:$K$199,7,0))</f>
        <v>Oest Thomas</v>
      </c>
      <c r="I21" s="285" t="str">
        <f>IF(ISBLANK($B21),"",VLOOKUP($B21,Teilnehmer!$B$4:$K$199,8,0))</f>
        <v>-</v>
      </c>
      <c r="J21" s="289" t="str">
        <f>IF(ISBLANK($B21),"",VLOOKUP($B21,Teilnehmer!$B$4:$K$199,9,0))</f>
        <v>MSC Ramberg</v>
      </c>
      <c r="K21" s="180" t="str">
        <f>IF(ISBLANK($B21),"",VLOOKUP($B21,Teilnehmer!$B$4:$K$199,10,0))</f>
        <v>BMW 540i</v>
      </c>
      <c r="L21" s="212"/>
      <c r="M21" s="226">
        <f t="shared" si="1"/>
        <v>15</v>
      </c>
      <c r="N21" s="115" t="str">
        <f>IF(ISBLANK($B21),"",VLOOKUP($B21,'Eingabe Zeiten'!CK:DJ,2,0))</f>
        <v>11:9:44,99</v>
      </c>
      <c r="O21" s="116" t="str">
        <f>IF(ISBLANK($B21),"",VLOOKUP($B21,'Eingabe Zeiten'!CK:DJ,3,0))</f>
        <v>11:15:8,22</v>
      </c>
      <c r="P21" s="279">
        <f t="shared" si="2"/>
        <v>3.7410879629630189E-3</v>
      </c>
      <c r="Q21" s="132" t="str">
        <f>IF(ISBLANK($B21),"",VLOOKUP($B21,'Eingabe Zeiten'!CK:DJ,4,0))</f>
        <v>0:0:0,0</v>
      </c>
      <c r="R21" s="117" t="str">
        <f t="shared" si="3"/>
        <v/>
      </c>
      <c r="S21" s="115" t="str">
        <f>IF(ISBLANK($B21),"",VLOOKUP($B21,'Eingabe Zeiten'!CK:DJ,6,0))</f>
        <v>12:6:0,75</v>
      </c>
      <c r="T21" s="116" t="str">
        <f>IF(ISBLANK($B21),"",VLOOKUP($B21,'Eingabe Zeiten'!CK:DJ,7,0))</f>
        <v>12:14:30,34</v>
      </c>
      <c r="U21" s="279">
        <f t="shared" si="4"/>
        <v>5.8980324074073831E-3</v>
      </c>
      <c r="V21" s="132" t="str">
        <f>IF(ISBLANK($B21),"",VLOOKUP($B21,'Eingabe Zeiten'!CK:DJ,8,0))</f>
        <v>0:0:0,0</v>
      </c>
      <c r="W21" s="117" t="str">
        <f t="shared" si="5"/>
        <v/>
      </c>
      <c r="X21" s="115" t="str">
        <f>IF(ISBLANK($B21),"",VLOOKUP($B21,'Eingabe Zeiten'!CK:DJ,10,0))</f>
        <v>13:31:15,4</v>
      </c>
      <c r="Y21" s="116" t="str">
        <f>IF(ISBLANK($B21),"",VLOOKUP($B21,'Eingabe Zeiten'!CK:DJ,11,0))</f>
        <v>13:37:3,52</v>
      </c>
      <c r="Z21" s="279">
        <f t="shared" si="6"/>
        <v>4.0291666666665282E-3</v>
      </c>
      <c r="AA21" s="132" t="str">
        <f>IF(ISBLANK($B21),"",VLOOKUP($B21,'Eingabe Zeiten'!CK:DJ,12,0))</f>
        <v>0:0:0,0</v>
      </c>
      <c r="AB21" s="117" t="str">
        <f t="shared" si="7"/>
        <v/>
      </c>
      <c r="AC21" s="115" t="str">
        <f>IF(ISBLANK($B21),"",VLOOKUP($B21,'Eingabe Zeiten'!CK:DJ,14,0))</f>
        <v>15:14:27,98</v>
      </c>
      <c r="AD21" s="116" t="str">
        <f>IF(ISBLANK($B21),"",VLOOKUP($B21,'Eingabe Zeiten'!CK:DJ,15,0))</f>
        <v>15:20:42,56</v>
      </c>
      <c r="AE21" s="279">
        <f t="shared" si="8"/>
        <v>4.3354166666665916E-3</v>
      </c>
      <c r="AF21" s="132" t="str">
        <f>IF(ISBLANK($B21),"",VLOOKUP($B21,'Eingabe Zeiten'!CK:DJ,16,0))</f>
        <v>0:0:0,0</v>
      </c>
      <c r="AG21" s="117" t="str">
        <f t="shared" si="9"/>
        <v/>
      </c>
      <c r="AH21" s="115" t="str">
        <f>IF(ISBLANK($B21),"",VLOOKUP($B21,'Eingabe Zeiten'!CK:DJ,18,0))</f>
        <v>15:46:42,37</v>
      </c>
      <c r="AI21" s="116" t="str">
        <f>IF(ISBLANK($B21),"",VLOOKUP($B21,'Eingabe Zeiten'!CK:DJ,19,0))</f>
        <v>15:52:19,32</v>
      </c>
      <c r="AJ21" s="279">
        <f t="shared" si="10"/>
        <v>3.8998842592592453E-3</v>
      </c>
      <c r="AK21" s="132" t="str">
        <f>IF(ISBLANK($B21),"",VLOOKUP($B21,'Eingabe Zeiten'!CK:DJ,20,0))</f>
        <v>0:0:0,0</v>
      </c>
      <c r="AL21" s="117" t="str">
        <f t="shared" si="11"/>
        <v/>
      </c>
      <c r="AM21" s="115" t="str">
        <f>IF(ISBLANK($B21),"",VLOOKUP($B21,'Eingabe Zeiten'!CK:DJ,22,0))</f>
        <v>0:0:0,0</v>
      </c>
      <c r="AN21" s="116" t="str">
        <f>IF(ISBLANK($B21),"",VLOOKUP($B21,'Eingabe Zeiten'!CK:DJ,23,0))</f>
        <v>0:0:0,0</v>
      </c>
      <c r="AO21" s="279">
        <f t="shared" si="16"/>
        <v>0</v>
      </c>
      <c r="AP21" s="132" t="str">
        <f>IF(ISBLANK($B21),"",VLOOKUP($B21,'Eingabe Zeiten'!CK:DJ,24,0))</f>
        <v>0:0:0,0</v>
      </c>
      <c r="AQ21" s="117" t="str">
        <f t="shared" si="13"/>
        <v/>
      </c>
      <c r="AR21" s="136" t="str">
        <f>IF(ISBLANK($B21),"",VLOOKUP($B21,'Eingabe Zeiten'!CK:DJ,26,0))</f>
        <v>0:0:0,0</v>
      </c>
      <c r="AS21" s="213"/>
      <c r="AT21" s="279">
        <f t="shared" si="14"/>
        <v>2.1903587962962767E-2</v>
      </c>
      <c r="AU21" s="139">
        <f t="shared" si="0"/>
        <v>0</v>
      </c>
      <c r="AV21" s="224">
        <f t="shared" si="17"/>
        <v>2.1903587962962767E-2</v>
      </c>
    </row>
    <row r="22" spans="2:48" s="214" customFormat="1" ht="27.75" customHeight="1">
      <c r="B22" s="118">
        <v>16</v>
      </c>
      <c r="C22" s="275">
        <f>IF(ISBLANK($B22),"",VLOOKUP($B22,Teilnehmer!$B$4:$K$199,2,0))</f>
        <v>2</v>
      </c>
      <c r="D22" s="276">
        <f>IF(ISBLANK($B22),"",VLOOKUP($B22,Teilnehmer!$B$4:$K$199,3,0))</f>
        <v>10</v>
      </c>
      <c r="E22" s="93" t="str">
        <f>IF(ISBLANK($B22),"",VLOOKUP($B22,Teilnehmer!$B$4:$K$199,4,0))</f>
        <v>Schad Carsten</v>
      </c>
      <c r="F22" s="285" t="str">
        <f>IF(ISBLANK($B22),"",VLOOKUP($B22,Teilnehmer!$B$4:$K$199,5,0))</f>
        <v>-</v>
      </c>
      <c r="G22" s="288" t="str">
        <f>IF(ISBLANK($B22),"",VLOOKUP($B22,Teilnehmer!$B$4:$K$199,6,0))</f>
        <v>AMC Bad Königshofen</v>
      </c>
      <c r="H22" s="93" t="str">
        <f>IF(ISBLANK($B22),"",VLOOKUP($B22,Teilnehmer!$B$4:$K$199,7,0))</f>
        <v>Schad Alicia</v>
      </c>
      <c r="I22" s="285" t="str">
        <f>IF(ISBLANK($B22),"",VLOOKUP($B22,Teilnehmer!$B$4:$K$199,8,0))</f>
        <v>-</v>
      </c>
      <c r="J22" s="289" t="str">
        <f>IF(ISBLANK($B22),"",VLOOKUP($B22,Teilnehmer!$B$4:$K$199,9,0))</f>
        <v>AMC Bad Königshofen</v>
      </c>
      <c r="K22" s="180" t="str">
        <f>IF(ISBLANK($B22),"",VLOOKUP($B22,Teilnehmer!$B$4:$K$199,10,0))</f>
        <v>BMW M3 e36</v>
      </c>
      <c r="L22" s="212"/>
      <c r="M22" s="226">
        <f t="shared" si="1"/>
        <v>16</v>
      </c>
      <c r="N22" s="115" t="str">
        <f>IF(ISBLANK($B22),"",VLOOKUP($B22,'Eingabe Zeiten'!CK:DJ,2,0))</f>
        <v>11:10:25,73</v>
      </c>
      <c r="O22" s="116" t="str">
        <f>IF(ISBLANK($B22),"",VLOOKUP($B22,'Eingabe Zeiten'!CK:DJ,3,0))</f>
        <v>11:16:21,75</v>
      </c>
      <c r="P22" s="279">
        <f t="shared" si="2"/>
        <v>4.1206018518518128E-3</v>
      </c>
      <c r="Q22" s="132" t="str">
        <f>IF(ISBLANK($B22),"",VLOOKUP($B22,'Eingabe Zeiten'!CK:DJ,4,0))</f>
        <v>0:0:0,0</v>
      </c>
      <c r="R22" s="117" t="str">
        <f t="shared" si="3"/>
        <v/>
      </c>
      <c r="S22" s="115" t="str">
        <f>IF(ISBLANK($B22),"",VLOOKUP($B22,'Eingabe Zeiten'!CK:DJ,6,0))</f>
        <v>12:6:24,98</v>
      </c>
      <c r="T22" s="116" t="str">
        <f>IF(ISBLANK($B22),"",VLOOKUP($B22,'Eingabe Zeiten'!CK:DJ,7,0))</f>
        <v>12:13:45,11</v>
      </c>
      <c r="U22" s="279">
        <f t="shared" si="4"/>
        <v>5.0940972222222047E-3</v>
      </c>
      <c r="V22" s="132" t="str">
        <f>IF(ISBLANK($B22),"",VLOOKUP($B22,'Eingabe Zeiten'!CK:DJ,8,0))</f>
        <v>0:0:0,0</v>
      </c>
      <c r="W22" s="117" t="str">
        <f t="shared" si="5"/>
        <v/>
      </c>
      <c r="X22" s="115" t="str">
        <f>IF(ISBLANK($B22),"",VLOOKUP($B22,'Eingabe Zeiten'!CK:DJ,10,0))</f>
        <v>13:31:37,87</v>
      </c>
      <c r="Y22" s="116" t="str">
        <f>IF(ISBLANK($B22),"",VLOOKUP($B22,'Eingabe Zeiten'!CK:DJ,11,0))</f>
        <v>13:37:18,78</v>
      </c>
      <c r="Z22" s="279">
        <f t="shared" si="6"/>
        <v>3.9457175925925458E-3</v>
      </c>
      <c r="AA22" s="132" t="str">
        <f>IF(ISBLANK($B22),"",VLOOKUP($B22,'Eingabe Zeiten'!CK:DJ,12,0))</f>
        <v>0:0:0,0</v>
      </c>
      <c r="AB22" s="117" t="str">
        <f t="shared" si="7"/>
        <v/>
      </c>
      <c r="AC22" s="115" t="str">
        <f>IF(ISBLANK($B22),"",VLOOKUP($B22,'Eingabe Zeiten'!CK:DJ,14,0))</f>
        <v>14:45:38,62</v>
      </c>
      <c r="AD22" s="116" t="str">
        <f>IF(ISBLANK($B22),"",VLOOKUP($B22,'Eingabe Zeiten'!CK:DJ,15,0))</f>
        <v>14:52:24,61</v>
      </c>
      <c r="AE22" s="279">
        <f t="shared" si="8"/>
        <v>4.6989583333333362E-3</v>
      </c>
      <c r="AF22" s="132" t="str">
        <f>IF(ISBLANK($B22),"",VLOOKUP($B22,'Eingabe Zeiten'!CK:DJ,16,0))</f>
        <v>0:0:0,0</v>
      </c>
      <c r="AG22" s="117" t="str">
        <f t="shared" si="9"/>
        <v/>
      </c>
      <c r="AH22" s="115" t="str">
        <f>IF(ISBLANK($B22),"",VLOOKUP($B22,'Eingabe Zeiten'!CK:DJ,18,0))</f>
        <v>15:17:32,72</v>
      </c>
      <c r="AI22" s="116" t="str">
        <f>IF(ISBLANK($B22),"",VLOOKUP($B22,'Eingabe Zeiten'!CK:DJ,19,0))</f>
        <v>15:23:18,43</v>
      </c>
      <c r="AJ22" s="279">
        <f t="shared" si="10"/>
        <v>4.0012731481481323E-3</v>
      </c>
      <c r="AK22" s="132" t="str">
        <f>IF(ISBLANK($B22),"",VLOOKUP($B22,'Eingabe Zeiten'!CK:DJ,20,0))</f>
        <v>0:0:0,0</v>
      </c>
      <c r="AL22" s="117" t="str">
        <f t="shared" si="11"/>
        <v/>
      </c>
      <c r="AM22" s="115" t="str">
        <f>IF(ISBLANK($B22),"",VLOOKUP($B22,'Eingabe Zeiten'!CK:DJ,22,0))</f>
        <v>0:0:0,0</v>
      </c>
      <c r="AN22" s="116" t="str">
        <f>IF(ISBLANK($B22),"",VLOOKUP($B22,'Eingabe Zeiten'!CK:DJ,23,0))</f>
        <v>0:0:0,0</v>
      </c>
      <c r="AO22" s="279">
        <f t="shared" si="16"/>
        <v>0</v>
      </c>
      <c r="AP22" s="132" t="str">
        <f>IF(ISBLANK($B22),"",VLOOKUP($B22,'Eingabe Zeiten'!CK:DJ,24,0))</f>
        <v>0:0:0,0</v>
      </c>
      <c r="AQ22" s="117" t="str">
        <f t="shared" si="13"/>
        <v/>
      </c>
      <c r="AR22" s="136" t="str">
        <f>IF(ISBLANK($B22),"",VLOOKUP($B22,'Eingabe Zeiten'!CK:DJ,26,0))</f>
        <v>0:0:0,0</v>
      </c>
      <c r="AS22" s="213"/>
      <c r="AT22" s="279">
        <f t="shared" si="14"/>
        <v>2.1860648148148032E-2</v>
      </c>
      <c r="AU22" s="139">
        <f t="shared" si="0"/>
        <v>0</v>
      </c>
      <c r="AV22" s="224">
        <f t="shared" si="17"/>
        <v>2.1860648148148032E-2</v>
      </c>
    </row>
    <row r="23" spans="2:48" s="214" customFormat="1" ht="27.75" customHeight="1">
      <c r="B23" s="118">
        <v>17</v>
      </c>
      <c r="C23" s="275">
        <f>IF(ISBLANK($B23),"",VLOOKUP($B23,Teilnehmer!$B$4:$K$199,2,0))</f>
        <v>2</v>
      </c>
      <c r="D23" s="276">
        <f>IF(ISBLANK($B23),"",VLOOKUP($B23,Teilnehmer!$B$4:$K$199,3,0))</f>
        <v>10</v>
      </c>
      <c r="E23" s="93" t="str">
        <f>IF(ISBLANK($B23),"",VLOOKUP($B23,Teilnehmer!$B$4:$K$199,4,0))</f>
        <v>Müller Werner</v>
      </c>
      <c r="F23" s="285" t="str">
        <f>IF(ISBLANK($B23),"",VLOOKUP($B23,Teilnehmer!$B$4:$K$199,5,0))</f>
        <v>-</v>
      </c>
      <c r="G23" s="288" t="str">
        <f>IF(ISBLANK($B23),"",VLOOKUP($B23,Teilnehmer!$B$4:$K$199,6,0))</f>
        <v>MSC Emmersdorf</v>
      </c>
      <c r="H23" s="93" t="str">
        <f>IF(ISBLANK($B23),"",VLOOKUP($B23,Teilnehmer!$B$4:$K$199,7,0))</f>
        <v>Trabs Jasmin</v>
      </c>
      <c r="I23" s="285" t="str">
        <f>IF(ISBLANK($B23),"",VLOOKUP($B23,Teilnehmer!$B$4:$K$199,8,0))</f>
        <v>-</v>
      </c>
      <c r="J23" s="289" t="str">
        <f>IF(ISBLANK($B23),"",VLOOKUP($B23,Teilnehmer!$B$4:$K$199,9,0))</f>
        <v>MSC Emmersdorf</v>
      </c>
      <c r="K23" s="180" t="str">
        <f>IF(ISBLANK($B23),"",VLOOKUP($B23,Teilnehmer!$B$4:$K$199,10,0))</f>
        <v>BMW BMW M3</v>
      </c>
      <c r="L23" s="212"/>
      <c r="M23" s="226">
        <f t="shared" si="1"/>
        <v>17</v>
      </c>
      <c r="N23" s="115" t="str">
        <f>IF(ISBLANK($B23),"",VLOOKUP($B23,'Eingabe Zeiten'!CK:DJ,2,0))</f>
        <v>11:11:15,51</v>
      </c>
      <c r="O23" s="116" t="str">
        <f>IF(ISBLANK($B23),"",VLOOKUP($B23,'Eingabe Zeiten'!CK:DJ,3,0))</f>
        <v>11:21:38,34</v>
      </c>
      <c r="P23" s="279">
        <f t="shared" si="2"/>
        <v>7.2086805555554578E-3</v>
      </c>
      <c r="Q23" s="132" t="str">
        <f>IF(ISBLANK($B23),"",VLOOKUP($B23,'Eingabe Zeiten'!CK:DJ,4,0))</f>
        <v>0:0:0,0</v>
      </c>
      <c r="R23" s="117" t="str">
        <f t="shared" si="3"/>
        <v/>
      </c>
      <c r="S23" s="115" t="str">
        <f>IF(ISBLANK($B23),"",VLOOKUP($B23,'Eingabe Zeiten'!CK:DJ,6,0))</f>
        <v>12:20:56,98</v>
      </c>
      <c r="T23" s="116" t="str">
        <f>IF(ISBLANK($B23),"",VLOOKUP($B23,'Eingabe Zeiten'!CK:DJ,7,0))</f>
        <v>12:26:54,84</v>
      </c>
      <c r="U23" s="279">
        <f t="shared" si="4"/>
        <v>4.1418981481481376E-3</v>
      </c>
      <c r="V23" s="132" t="str">
        <f>IF(ISBLANK($B23),"",VLOOKUP($B23,'Eingabe Zeiten'!CK:DJ,8,0))</f>
        <v>0:0:0,0</v>
      </c>
      <c r="W23" s="117" t="str">
        <f t="shared" si="5"/>
        <v/>
      </c>
      <c r="X23" s="115" t="str">
        <f>IF(ISBLANK($B23),"",VLOOKUP($B23,'Eingabe Zeiten'!CK:DJ,10,0))</f>
        <v>13:32:7,87</v>
      </c>
      <c r="Y23" s="116" t="str">
        <f>IF(ISBLANK($B23),"",VLOOKUP($B23,'Eingabe Zeiten'!CK:DJ,11,0))</f>
        <v>13:37:11,64</v>
      </c>
      <c r="Z23" s="279">
        <f t="shared" si="6"/>
        <v>3.5158564814814497E-3</v>
      </c>
      <c r="AA23" s="132" t="str">
        <f>IF(ISBLANK($B23),"",VLOOKUP($B23,'Eingabe Zeiten'!CK:DJ,12,0))</f>
        <v>0:0:0,0</v>
      </c>
      <c r="AB23" s="117" t="str">
        <f t="shared" si="7"/>
        <v/>
      </c>
      <c r="AC23" s="115" t="str">
        <f>IF(ISBLANK($B23),"",VLOOKUP($B23,'Eingabe Zeiten'!CK:DJ,14,0))</f>
        <v>14:50:17,77</v>
      </c>
      <c r="AD23" s="116" t="str">
        <f>IF(ISBLANK($B23),"",VLOOKUP($B23,'Eingabe Zeiten'!CK:DJ,15,0))</f>
        <v>14:56:19,10</v>
      </c>
      <c r="AE23" s="279">
        <f t="shared" si="8"/>
        <v>4.182060185185188E-3</v>
      </c>
      <c r="AF23" s="132" t="str">
        <f>IF(ISBLANK($B23),"",VLOOKUP($B23,'Eingabe Zeiten'!CK:DJ,16,0))</f>
        <v>0:0:0,0</v>
      </c>
      <c r="AG23" s="117" t="str">
        <f t="shared" si="9"/>
        <v/>
      </c>
      <c r="AH23" s="115" t="str">
        <f>IF(ISBLANK($B23),"",VLOOKUP($B23,'Eingabe Zeiten'!CK:DJ,18,0))</f>
        <v>15:20:23,78</v>
      </c>
      <c r="AI23" s="116" t="str">
        <f>IF(ISBLANK($B23),"",VLOOKUP($B23,'Eingabe Zeiten'!CK:DJ,19,0))</f>
        <v>15:25:30,62</v>
      </c>
      <c r="AJ23" s="279">
        <f t="shared" si="10"/>
        <v>3.5513888888888401E-3</v>
      </c>
      <c r="AK23" s="132" t="str">
        <f>IF(ISBLANK($B23),"",VLOOKUP($B23,'Eingabe Zeiten'!CK:DJ,20,0))</f>
        <v>0:0:0,0</v>
      </c>
      <c r="AL23" s="117" t="str">
        <f t="shared" si="11"/>
        <v/>
      </c>
      <c r="AM23" s="115" t="str">
        <f>IF(ISBLANK($B23),"",VLOOKUP($B23,'Eingabe Zeiten'!CK:DJ,22,0))</f>
        <v>0:0:0,0</v>
      </c>
      <c r="AN23" s="116" t="str">
        <f>IF(ISBLANK($B23),"",VLOOKUP($B23,'Eingabe Zeiten'!CK:DJ,23,0))</f>
        <v>0:0:0,0</v>
      </c>
      <c r="AO23" s="279">
        <f t="shared" si="16"/>
        <v>0</v>
      </c>
      <c r="AP23" s="132" t="str">
        <f>IF(ISBLANK($B23),"",VLOOKUP($B23,'Eingabe Zeiten'!CK:DJ,24,0))</f>
        <v>0:0:0,0</v>
      </c>
      <c r="AQ23" s="117" t="str">
        <f t="shared" si="13"/>
        <v/>
      </c>
      <c r="AR23" s="136" t="str">
        <f>IF(ISBLANK($B23),"",VLOOKUP($B23,'Eingabe Zeiten'!CK:DJ,26,0))</f>
        <v>0:0:0,0</v>
      </c>
      <c r="AS23" s="213"/>
      <c r="AT23" s="279">
        <f t="shared" si="14"/>
        <v>2.2599884259259073E-2</v>
      </c>
      <c r="AU23" s="139">
        <f t="shared" si="0"/>
        <v>0</v>
      </c>
      <c r="AV23" s="224">
        <f t="shared" si="17"/>
        <v>2.2599884259259073E-2</v>
      </c>
    </row>
    <row r="24" spans="2:48" s="214" customFormat="1" ht="27.75" customHeight="1">
      <c r="B24" s="118">
        <v>18</v>
      </c>
      <c r="C24" s="275">
        <f>IF(ISBLANK($B24),"",VLOOKUP($B24,Teilnehmer!$B$4:$K$199,2,0))</f>
        <v>2</v>
      </c>
      <c r="D24" s="276">
        <f>IF(ISBLANK($B24),"",VLOOKUP($B24,Teilnehmer!$B$4:$K$199,3,0))</f>
        <v>10</v>
      </c>
      <c r="E24" s="93" t="str">
        <f>IF(ISBLANK($B24),"",VLOOKUP($B24,Teilnehmer!$B$4:$K$199,4,0))</f>
        <v>Haselbeck Maximilian</v>
      </c>
      <c r="F24" s="285" t="str">
        <f>IF(ISBLANK($B24),"",VLOOKUP($B24,Teilnehmer!$B$4:$K$199,5,0))</f>
        <v>-</v>
      </c>
      <c r="G24" s="288" t="str">
        <f>IF(ISBLANK($B24),"",VLOOKUP($B24,Teilnehmer!$B$4:$K$199,6,0))</f>
        <v>-</v>
      </c>
      <c r="H24" s="93" t="str">
        <f>IF(ISBLANK($B24),"",VLOOKUP($B24,Teilnehmer!$B$4:$K$199,7,0))</f>
        <v>Haselbeck Alexander</v>
      </c>
      <c r="I24" s="285" t="str">
        <f>IF(ISBLANK($B24),"",VLOOKUP($B24,Teilnehmer!$B$4:$K$199,8,0))</f>
        <v>-</v>
      </c>
      <c r="J24" s="289" t="str">
        <f>IF(ISBLANK($B24),"",VLOOKUP($B24,Teilnehmer!$B$4:$K$199,9,0))</f>
        <v>-</v>
      </c>
      <c r="K24" s="180" t="str">
        <f>IF(ISBLANK($B24),"",VLOOKUP($B24,Teilnehmer!$B$4:$K$199,10,0))</f>
        <v>BMW 328i</v>
      </c>
      <c r="L24" s="212"/>
      <c r="M24" s="226">
        <f t="shared" si="1"/>
        <v>18</v>
      </c>
      <c r="N24" s="115" t="str">
        <f>IF(ISBLANK($B24),"",VLOOKUP($B24,'Eingabe Zeiten'!CK:DJ,2,0))</f>
        <v>11:12:23,11</v>
      </c>
      <c r="O24" s="116" t="str">
        <f>IF(ISBLANK($B24),"",VLOOKUP($B24,'Eingabe Zeiten'!CK:DJ,3,0))</f>
        <v>11:17:40,62</v>
      </c>
      <c r="P24" s="279">
        <f t="shared" si="2"/>
        <v>3.6748842592592701E-3</v>
      </c>
      <c r="Q24" s="132" t="str">
        <f>IF(ISBLANK($B24),"",VLOOKUP($B24,'Eingabe Zeiten'!CK:DJ,4,0))</f>
        <v>0:0:0,0</v>
      </c>
      <c r="R24" s="117" t="str">
        <f t="shared" si="3"/>
        <v/>
      </c>
      <c r="S24" s="115" t="str">
        <f>IF(ISBLANK($B24),"",VLOOKUP($B24,'Eingabe Zeiten'!CK:DJ,6,0))</f>
        <v>12:6:55,73</v>
      </c>
      <c r="T24" s="116" t="str">
        <f>IF(ISBLANK($B24),"",VLOOKUP($B24,'Eingabe Zeiten'!CK:DJ,7,0))</f>
        <v>12:13:15,10</v>
      </c>
      <c r="U24" s="279">
        <f t="shared" si="4"/>
        <v>4.3908564814814088E-3</v>
      </c>
      <c r="V24" s="132" t="str">
        <f>IF(ISBLANK($B24),"",VLOOKUP($B24,'Eingabe Zeiten'!CK:DJ,8,0))</f>
        <v>0:0:0,0</v>
      </c>
      <c r="W24" s="117" t="str">
        <f>IF(OR(ISBLANK($B24),U24="ADW"),"",IF(U24&gt;$T$4,"X",""))</f>
        <v/>
      </c>
      <c r="X24" s="115" t="str">
        <f>IF(ISBLANK($B24),"",VLOOKUP($B24,'Eingabe Zeiten'!CK:DJ,10,0))</f>
        <v>13:32:32,77</v>
      </c>
      <c r="Y24" s="116" t="str">
        <f>IF(ISBLANK($B24),"",VLOOKUP($B24,'Eingabe Zeiten'!CK:DJ,11,0))</f>
        <v>::,</v>
      </c>
      <c r="Z24" s="305">
        <v>1.0416666666666666E-2</v>
      </c>
      <c r="AA24" s="132" t="str">
        <f>IF(ISBLANK($B24),"",VLOOKUP($B24,'Eingabe Zeiten'!CK:DJ,12,0))</f>
        <v>0:0:0,0</v>
      </c>
      <c r="AB24" s="117" t="str">
        <f t="shared" si="7"/>
        <v/>
      </c>
      <c r="AC24" s="115" t="str">
        <f>IF(ISBLANK($B24),"",VLOOKUP($B24,'Eingabe Zeiten'!CK:DJ,14,0))</f>
        <v>::,</v>
      </c>
      <c r="AD24" s="116" t="str">
        <f>IF(ISBLANK($B24),"",VLOOKUP($B24,'Eingabe Zeiten'!CK:DJ,15,0))</f>
        <v>::,</v>
      </c>
      <c r="AE24" s="279" t="s">
        <v>287</v>
      </c>
      <c r="AF24" s="132" t="str">
        <f>IF(ISBLANK($B24),"",VLOOKUP($B24,'Eingabe Zeiten'!CK:DJ,16,0))</f>
        <v>0:0:0,0</v>
      </c>
      <c r="AG24" s="117" t="str">
        <f t="shared" si="9"/>
        <v/>
      </c>
      <c r="AH24" s="115" t="str">
        <f>IF(ISBLANK($B24),"",VLOOKUP($B24,'Eingabe Zeiten'!CK:DJ,18,0))</f>
        <v>::,</v>
      </c>
      <c r="AI24" s="116" t="str">
        <f>IF(ISBLANK($B24),"",VLOOKUP($B24,'Eingabe Zeiten'!CK:DJ,19,0))</f>
        <v>::,</v>
      </c>
      <c r="AJ24" s="279" t="s">
        <v>287</v>
      </c>
      <c r="AK24" s="132" t="str">
        <f>IF(ISBLANK($B24),"",VLOOKUP($B24,'Eingabe Zeiten'!CK:DJ,20,0))</f>
        <v>0:0:0,0</v>
      </c>
      <c r="AL24" s="117" t="str">
        <f t="shared" si="11"/>
        <v/>
      </c>
      <c r="AM24" s="115" t="str">
        <f>IF(ISBLANK($B24),"",VLOOKUP($B24,'Eingabe Zeiten'!CK:DJ,22,0))</f>
        <v>0:0:0,0</v>
      </c>
      <c r="AN24" s="116" t="str">
        <f>IF(ISBLANK($B24),"",VLOOKUP($B24,'Eingabe Zeiten'!CK:DJ,23,0))</f>
        <v>0:0:0,0</v>
      </c>
      <c r="AO24" s="279">
        <f t="shared" si="16"/>
        <v>0</v>
      </c>
      <c r="AP24" s="132" t="str">
        <f>IF(ISBLANK($B24),"",VLOOKUP($B24,'Eingabe Zeiten'!CK:DJ,24,0))</f>
        <v>0:0:0,0</v>
      </c>
      <c r="AQ24" s="117" t="str">
        <f t="shared" si="13"/>
        <v/>
      </c>
      <c r="AR24" s="136" t="str">
        <f>IF(ISBLANK($B24),"",VLOOKUP($B24,'Eingabe Zeiten'!CK:DJ,26,0))</f>
        <v>0:0:0,0</v>
      </c>
      <c r="AS24" s="213"/>
      <c r="AT24" s="279" t="s">
        <v>287</v>
      </c>
      <c r="AU24" s="139">
        <f t="shared" si="0"/>
        <v>0</v>
      </c>
      <c r="AV24" s="224" t="s">
        <v>287</v>
      </c>
    </row>
    <row r="25" spans="2:48" s="214" customFormat="1" ht="27.75" customHeight="1">
      <c r="B25" s="118">
        <v>19</v>
      </c>
      <c r="C25" s="275">
        <f>IF(ISBLANK($B25),"",VLOOKUP($B25,Teilnehmer!$B$4:$K$199,2,0))</f>
        <v>2</v>
      </c>
      <c r="D25" s="276">
        <f>IF(ISBLANK($B25),"",VLOOKUP($B25,Teilnehmer!$B$4:$K$199,3,0))</f>
        <v>10</v>
      </c>
      <c r="E25" s="93" t="str">
        <f>IF(ISBLANK($B25),"",VLOOKUP($B25,Teilnehmer!$B$4:$K$199,4,0))</f>
        <v>Stangl Mathias</v>
      </c>
      <c r="F25" s="285">
        <f>IF(ISBLANK($B25),"",VLOOKUP($B25,Teilnehmer!$B$4:$K$199,5,0))</f>
        <v>16636</v>
      </c>
      <c r="G25" s="288" t="str">
        <f>IF(ISBLANK($B25),"",VLOOKUP($B25,Teilnehmer!$B$4:$K$199,6,0))</f>
        <v>-</v>
      </c>
      <c r="H25" s="93" t="str">
        <f>IF(ISBLANK($B25),"",VLOOKUP($B25,Teilnehmer!$B$4:$K$199,7,0))</f>
        <v>Stangl Michael</v>
      </c>
      <c r="I25" s="285">
        <f>IF(ISBLANK($B25),"",VLOOKUP($B25,Teilnehmer!$B$4:$K$199,8,0))</f>
        <v>16635</v>
      </c>
      <c r="J25" s="289" t="str">
        <f>IF(ISBLANK($B25),"",VLOOKUP($B25,Teilnehmer!$B$4:$K$199,9,0))</f>
        <v>-</v>
      </c>
      <c r="K25" s="180" t="str">
        <f>IF(ISBLANK($B25),"",VLOOKUP($B25,Teilnehmer!$B$4:$K$199,10,0))</f>
        <v>BMW 320I (e36)</v>
      </c>
      <c r="L25" s="212"/>
      <c r="M25" s="226">
        <f t="shared" si="1"/>
        <v>19</v>
      </c>
      <c r="N25" s="115" t="str">
        <f>IF(ISBLANK($B25),"",VLOOKUP($B25,'Eingabe Zeiten'!CK:DJ,2,0))</f>
        <v>11:13:11,81</v>
      </c>
      <c r="O25" s="116" t="str">
        <f>IF(ISBLANK($B25),"",VLOOKUP($B25,'Eingabe Zeiten'!CK:DJ,3,0))</f>
        <v>11:19:7,55</v>
      </c>
      <c r="P25" s="279">
        <f t="shared" si="2"/>
        <v>4.1173611111111619E-3</v>
      </c>
      <c r="Q25" s="132" t="str">
        <f>IF(ISBLANK($B25),"",VLOOKUP($B25,'Eingabe Zeiten'!CK:DJ,4,0))</f>
        <v>0:0:0,0</v>
      </c>
      <c r="R25" s="117" t="str">
        <f t="shared" si="3"/>
        <v/>
      </c>
      <c r="S25" s="115" t="str">
        <f>IF(ISBLANK($B25),"",VLOOKUP($B25,'Eingabe Zeiten'!CK:DJ,6,0))</f>
        <v>12:9:9,72</v>
      </c>
      <c r="T25" s="116" t="str">
        <f>IF(ISBLANK($B25),"",VLOOKUP($B25,'Eingabe Zeiten'!CK:DJ,7,0))</f>
        <v>12:15:59,51</v>
      </c>
      <c r="U25" s="279">
        <f t="shared" si="4"/>
        <v>4.7429398148147728E-3</v>
      </c>
      <c r="V25" s="132" t="str">
        <f>IF(ISBLANK($B25),"",VLOOKUP($B25,'Eingabe Zeiten'!CK:DJ,8,0))</f>
        <v>0:0:0,0</v>
      </c>
      <c r="W25" s="117" t="str">
        <f t="shared" si="5"/>
        <v/>
      </c>
      <c r="X25" s="115" t="str">
        <f>IF(ISBLANK($B25),"",VLOOKUP($B25,'Eingabe Zeiten'!CK:DJ,10,0))</f>
        <v>13:34:19,73</v>
      </c>
      <c r="Y25" s="116" t="str">
        <f>IF(ISBLANK($B25),"",VLOOKUP($B25,'Eingabe Zeiten'!CK:DJ,11,0))</f>
        <v>13:40:9,75</v>
      </c>
      <c r="Z25" s="279">
        <f t="shared" si="6"/>
        <v>4.0511574074073575E-3</v>
      </c>
      <c r="AA25" s="132" t="str">
        <f>IF(ISBLANK($B25),"",VLOOKUP($B25,'Eingabe Zeiten'!CK:DJ,12,0))</f>
        <v>0:0:0,0</v>
      </c>
      <c r="AB25" s="117" t="str">
        <f t="shared" si="7"/>
        <v/>
      </c>
      <c r="AC25" s="115" t="str">
        <f>IF(ISBLANK($B25),"",VLOOKUP($B25,'Eingabe Zeiten'!CK:DJ,14,0))</f>
        <v>14:50:34,63</v>
      </c>
      <c r="AD25" s="116" t="str">
        <f>IF(ISBLANK($B25),"",VLOOKUP($B25,'Eingabe Zeiten'!CK:DJ,15,0))</f>
        <v>14:56:23,79</v>
      </c>
      <c r="AE25" s="305">
        <v>1.0416666666666666E-2</v>
      </c>
      <c r="AF25" s="132" t="str">
        <f>IF(ISBLANK($B25),"",VLOOKUP($B25,'Eingabe Zeiten'!CK:DJ,16,0))</f>
        <v>0:0:0,0</v>
      </c>
      <c r="AG25" s="117" t="str">
        <f t="shared" si="9"/>
        <v/>
      </c>
      <c r="AH25" s="115" t="str">
        <f>IF(ISBLANK($B25),"",VLOOKUP($B25,'Eingabe Zeiten'!CK:DJ,18,0))</f>
        <v>15:31:57,3</v>
      </c>
      <c r="AI25" s="116" t="str">
        <f>IF(ISBLANK($B25),"",VLOOKUP($B25,'Eingabe Zeiten'!CK:DJ,19,0))</f>
        <v>15:40:2,79</v>
      </c>
      <c r="AJ25" s="279">
        <f t="shared" si="10"/>
        <v>5.6190972222222024E-3</v>
      </c>
      <c r="AK25" s="132" t="str">
        <f>IF(ISBLANK($B25),"",VLOOKUP($B25,'Eingabe Zeiten'!CK:DJ,20,0))</f>
        <v>0:1:0,0</v>
      </c>
      <c r="AL25" s="117" t="str">
        <f t="shared" si="11"/>
        <v/>
      </c>
      <c r="AM25" s="115" t="str">
        <f>IF(ISBLANK($B25),"",VLOOKUP($B25,'Eingabe Zeiten'!CK:DJ,22,0))</f>
        <v>0:0:0,0</v>
      </c>
      <c r="AN25" s="116" t="str">
        <f>IF(ISBLANK($B25),"",VLOOKUP($B25,'Eingabe Zeiten'!CK:DJ,23,0))</f>
        <v>0:0:0,0</v>
      </c>
      <c r="AO25" s="279">
        <f t="shared" si="16"/>
        <v>0</v>
      </c>
      <c r="AP25" s="132" t="str">
        <f>IF(ISBLANK($B25),"",VLOOKUP($B25,'Eingabe Zeiten'!CK:DJ,24,0))</f>
        <v>0:0:0,0</v>
      </c>
      <c r="AQ25" s="117" t="str">
        <f t="shared" si="13"/>
        <v/>
      </c>
      <c r="AR25" s="136" t="str">
        <f>IF(ISBLANK($B25),"",VLOOKUP($B25,'Eingabe Zeiten'!CK:DJ,26,0))</f>
        <v>0:0:0,0</v>
      </c>
      <c r="AS25" s="213"/>
      <c r="AT25" s="279">
        <f t="shared" si="14"/>
        <v>2.8947222222222159E-2</v>
      </c>
      <c r="AU25" s="139">
        <f t="shared" si="0"/>
        <v>6.9444444444444447E-4</v>
      </c>
      <c r="AV25" s="224">
        <f t="shared" si="17"/>
        <v>2.9641666666666604E-2</v>
      </c>
    </row>
    <row r="26" spans="2:48" s="214" customFormat="1" ht="27.75" customHeight="1">
      <c r="B26" s="118">
        <v>20</v>
      </c>
      <c r="C26" s="275">
        <f>IF(ISBLANK($B26),"",VLOOKUP($B26,Teilnehmer!$B$4:$K$199,2,0))</f>
        <v>2</v>
      </c>
      <c r="D26" s="276">
        <f>IF(ISBLANK($B26),"",VLOOKUP($B26,Teilnehmer!$B$4:$K$199,3,0))</f>
        <v>9</v>
      </c>
      <c r="E26" s="93" t="str">
        <f>IF(ISBLANK($B26),"",VLOOKUP($B26,Teilnehmer!$B$4:$K$199,4,0))</f>
        <v>Russ Armin</v>
      </c>
      <c r="F26" s="285">
        <f>IF(ISBLANK($B26),"",VLOOKUP($B26,Teilnehmer!$B$4:$K$199,5,0))</f>
        <v>15958</v>
      </c>
      <c r="G26" s="288" t="str">
        <f>IF(ISBLANK($B26),"",VLOOKUP($B26,Teilnehmer!$B$4:$K$199,6,0))</f>
        <v>MSC Untergröningen / MC Einsingen</v>
      </c>
      <c r="H26" s="93" t="str">
        <f>IF(ISBLANK($B26),"",VLOOKUP($B26,Teilnehmer!$B$4:$K$199,7,0))</f>
        <v>Hess Sarah</v>
      </c>
      <c r="I26" s="285">
        <f>IF(ISBLANK($B26),"",VLOOKUP($B26,Teilnehmer!$B$4:$K$199,8,0))</f>
        <v>16275</v>
      </c>
      <c r="J26" s="289" t="str">
        <f>IF(ISBLANK($B26),"",VLOOKUP($B26,Teilnehmer!$B$4:$K$199,9,0))</f>
        <v>-</v>
      </c>
      <c r="K26" s="180" t="str">
        <f>IF(ISBLANK($B26),"",VLOOKUP($B26,Teilnehmer!$B$4:$K$199,10,0))</f>
        <v>BMW E30 318is</v>
      </c>
      <c r="L26" s="212"/>
      <c r="M26" s="226">
        <f t="shared" si="1"/>
        <v>20</v>
      </c>
      <c r="N26" s="115" t="str">
        <f>IF(ISBLANK($B26),"",VLOOKUP($B26,'Eingabe Zeiten'!CK:DJ,2,0))</f>
        <v>11:14:44,88</v>
      </c>
      <c r="O26" s="116" t="str">
        <f>IF(ISBLANK($B26),"",VLOOKUP($B26,'Eingabe Zeiten'!CK:DJ,3,0))</f>
        <v>11:20:33,60</v>
      </c>
      <c r="P26" s="279">
        <f t="shared" si="2"/>
        <v>4.0361111111111292E-3</v>
      </c>
      <c r="Q26" s="132" t="str">
        <f>IF(ISBLANK($B26),"",VLOOKUP($B26,'Eingabe Zeiten'!CK:DJ,4,0))</f>
        <v>0:0:0,0</v>
      </c>
      <c r="R26" s="117" t="str">
        <f t="shared" si="3"/>
        <v/>
      </c>
      <c r="S26" s="115" t="str">
        <f>IF(ISBLANK($B26),"",VLOOKUP($B26,'Eingabe Zeiten'!CK:DJ,6,0))</f>
        <v>12:13:33,61</v>
      </c>
      <c r="T26" s="116" t="str">
        <f>IF(ISBLANK($B26),"",VLOOKUP($B26,'Eingabe Zeiten'!CK:DJ,7,0))</f>
        <v>12:20:5,40</v>
      </c>
      <c r="U26" s="279">
        <f t="shared" si="4"/>
        <v>4.5346064814815179E-3</v>
      </c>
      <c r="V26" s="132" t="str">
        <f>IF(ISBLANK($B26),"",VLOOKUP($B26,'Eingabe Zeiten'!CK:DJ,8,0))</f>
        <v>0:0:0,0</v>
      </c>
      <c r="W26" s="117" t="str">
        <f t="shared" si="5"/>
        <v/>
      </c>
      <c r="X26" s="115" t="str">
        <f>IF(ISBLANK($B26),"",VLOOKUP($B26,'Eingabe Zeiten'!CK:DJ,10,0))</f>
        <v>13:34:50,40</v>
      </c>
      <c r="Y26" s="116" t="str">
        <f>IF(ISBLANK($B26),"",VLOOKUP($B26,'Eingabe Zeiten'!CK:DJ,11,0))</f>
        <v>13:40:28,53</v>
      </c>
      <c r="Z26" s="279">
        <f t="shared" si="6"/>
        <v>3.9135416666665757E-3</v>
      </c>
      <c r="AA26" s="132" t="str">
        <f>IF(ISBLANK($B26),"",VLOOKUP($B26,'Eingabe Zeiten'!CK:DJ,12,0))</f>
        <v>0:0:0,0</v>
      </c>
      <c r="AB26" s="117" t="str">
        <f t="shared" si="7"/>
        <v/>
      </c>
      <c r="AC26" s="115" t="str">
        <f>IF(ISBLANK($B26),"",VLOOKUP($B26,'Eingabe Zeiten'!CK:DJ,14,0))</f>
        <v>14:50:50,14</v>
      </c>
      <c r="AD26" s="116" t="str">
        <f>IF(ISBLANK($B26),"",VLOOKUP($B26,'Eingabe Zeiten'!CK:DJ,15,0))</f>
        <v>14:57:4,84</v>
      </c>
      <c r="AE26" s="279">
        <f t="shared" si="8"/>
        <v>4.3368055555554896E-3</v>
      </c>
      <c r="AF26" s="132" t="str">
        <f>IF(ISBLANK($B26),"",VLOOKUP($B26,'Eingabe Zeiten'!CK:DJ,16,0))</f>
        <v>0:0:0,0</v>
      </c>
      <c r="AG26" s="117" t="str">
        <f t="shared" si="9"/>
        <v/>
      </c>
      <c r="AH26" s="115" t="str">
        <f>IF(ISBLANK($B26),"",VLOOKUP($B26,'Eingabe Zeiten'!CK:DJ,18,0))</f>
        <v>15:21:17,21</v>
      </c>
      <c r="AI26" s="116" t="str">
        <f>IF(ISBLANK($B26),"",VLOOKUP($B26,'Eingabe Zeiten'!CK:DJ,19,0))</f>
        <v>15:26:57,68</v>
      </c>
      <c r="AJ26" s="279">
        <f t="shared" si="10"/>
        <v>3.9406250000000309E-3</v>
      </c>
      <c r="AK26" s="132" t="str">
        <f>IF(ISBLANK($B26),"",VLOOKUP($B26,'Eingabe Zeiten'!CK:DJ,20,0))</f>
        <v>0:0:0,0</v>
      </c>
      <c r="AL26" s="117" t="str">
        <f t="shared" si="11"/>
        <v/>
      </c>
      <c r="AM26" s="115" t="str">
        <f>IF(ISBLANK($B26),"",VLOOKUP($B26,'Eingabe Zeiten'!CK:DJ,22,0))</f>
        <v>0:0:0,0</v>
      </c>
      <c r="AN26" s="116" t="str">
        <f>IF(ISBLANK($B26),"",VLOOKUP($B26,'Eingabe Zeiten'!CK:DJ,23,0))</f>
        <v>0:0:0,0</v>
      </c>
      <c r="AO26" s="279">
        <f t="shared" si="16"/>
        <v>0</v>
      </c>
      <c r="AP26" s="132" t="str">
        <f>IF(ISBLANK($B26),"",VLOOKUP($B26,'Eingabe Zeiten'!CK:DJ,24,0))</f>
        <v>0:0:0,0</v>
      </c>
      <c r="AQ26" s="117" t="str">
        <f t="shared" si="13"/>
        <v/>
      </c>
      <c r="AR26" s="136" t="str">
        <f>IF(ISBLANK($B26),"",VLOOKUP($B26,'Eingabe Zeiten'!CK:DJ,26,0))</f>
        <v>0:0:0,0</v>
      </c>
      <c r="AS26" s="213"/>
      <c r="AT26" s="279">
        <f t="shared" si="14"/>
        <v>2.0761689814814743E-2</v>
      </c>
      <c r="AU26" s="139">
        <f t="shared" si="0"/>
        <v>0</v>
      </c>
      <c r="AV26" s="224">
        <f t="shared" si="17"/>
        <v>2.0761689814814743E-2</v>
      </c>
    </row>
    <row r="27" spans="2:48" s="214" customFormat="1" ht="27.75" customHeight="1">
      <c r="B27" s="118">
        <v>21</v>
      </c>
      <c r="C27" s="275">
        <f>IF(ISBLANK($B27),"",VLOOKUP($B27,Teilnehmer!$B$4:$K$199,2,0))</f>
        <v>2</v>
      </c>
      <c r="D27" s="276">
        <f>IF(ISBLANK($B27),"",VLOOKUP($B27,Teilnehmer!$B$4:$K$199,3,0))</f>
        <v>9</v>
      </c>
      <c r="E27" s="93" t="str">
        <f>IF(ISBLANK($B27),"",VLOOKUP($B27,Teilnehmer!$B$4:$K$199,4,0))</f>
        <v>Bader Steffen</v>
      </c>
      <c r="F27" s="285">
        <f>IF(ISBLANK($B27),"",VLOOKUP($B27,Teilnehmer!$B$4:$K$199,5,0))</f>
        <v>16280</v>
      </c>
      <c r="G27" s="288" t="str">
        <f>IF(ISBLANK($B27),"",VLOOKUP($B27,Teilnehmer!$B$4:$K$199,6,0))</f>
        <v>-</v>
      </c>
      <c r="H27" s="93" t="str">
        <f>IF(ISBLANK($B27),"",VLOOKUP($B27,Teilnehmer!$B$4:$K$199,7,0))</f>
        <v>Laib Dieter</v>
      </c>
      <c r="I27" s="285">
        <f>IF(ISBLANK($B27),"",VLOOKUP($B27,Teilnehmer!$B$4:$K$199,8,0))</f>
        <v>16284</v>
      </c>
      <c r="J27" s="289" t="str">
        <f>IF(ISBLANK($B27),"",VLOOKUP($B27,Teilnehmer!$B$4:$K$199,9,0))</f>
        <v>-</v>
      </c>
      <c r="K27" s="180" t="str">
        <f>IF(ISBLANK($B27),"",VLOOKUP($B27,Teilnehmer!$B$4:$K$199,10,0))</f>
        <v>Opel Kadett C</v>
      </c>
      <c r="L27" s="212"/>
      <c r="M27" s="226">
        <f t="shared" si="1"/>
        <v>21</v>
      </c>
      <c r="N27" s="115" t="str">
        <f>IF(ISBLANK($B27),"",VLOOKUP($B27,'Eingabe Zeiten'!CK:DJ,2,0))</f>
        <v>11:16:3,97</v>
      </c>
      <c r="O27" s="116" t="str">
        <f>IF(ISBLANK($B27),"",VLOOKUP($B27,'Eingabe Zeiten'!CK:DJ,3,0))</f>
        <v>11:21:18,19</v>
      </c>
      <c r="P27" s="279">
        <f t="shared" si="2"/>
        <v>3.6368055555555667E-3</v>
      </c>
      <c r="Q27" s="132" t="str">
        <f>IF(ISBLANK($B27),"",VLOOKUP($B27,'Eingabe Zeiten'!CK:DJ,4,0))</f>
        <v>0:0:0,0</v>
      </c>
      <c r="R27" s="117" t="str">
        <f t="shared" si="3"/>
        <v/>
      </c>
      <c r="S27" s="115" t="str">
        <f>IF(ISBLANK($B27),"",VLOOKUP($B27,'Eingabe Zeiten'!CK:DJ,6,0))</f>
        <v>12:13:55,40</v>
      </c>
      <c r="T27" s="116" t="str">
        <f>IF(ISBLANK($B27),"",VLOOKUP($B27,'Eingabe Zeiten'!CK:DJ,7,0))</f>
        <v>12:20:19,70</v>
      </c>
      <c r="U27" s="279">
        <f t="shared" si="4"/>
        <v>4.4479166666665515E-3</v>
      </c>
      <c r="V27" s="132" t="str">
        <f>IF(ISBLANK($B27),"",VLOOKUP($B27,'Eingabe Zeiten'!CK:DJ,8,0))</f>
        <v>0:0:0,0</v>
      </c>
      <c r="W27" s="117" t="str">
        <f t="shared" si="5"/>
        <v/>
      </c>
      <c r="X27" s="115" t="str">
        <f>IF(ISBLANK($B27),"",VLOOKUP($B27,'Eingabe Zeiten'!CK:DJ,10,0))</f>
        <v>13:35:20,97</v>
      </c>
      <c r="Y27" s="116" t="str">
        <f>IF(ISBLANK($B27),"",VLOOKUP($B27,'Eingabe Zeiten'!CK:DJ,11,0))</f>
        <v>13:40:32,92</v>
      </c>
      <c r="Z27" s="279">
        <f t="shared" si="6"/>
        <v>3.6105324074073852E-3</v>
      </c>
      <c r="AA27" s="132" t="str">
        <f>IF(ISBLANK($B27),"",VLOOKUP($B27,'Eingabe Zeiten'!CK:DJ,12,0))</f>
        <v>0:0:0,0</v>
      </c>
      <c r="AB27" s="117" t="str">
        <f t="shared" si="7"/>
        <v/>
      </c>
      <c r="AC27" s="115" t="str">
        <f>IF(ISBLANK($B27),"",VLOOKUP($B27,'Eingabe Zeiten'!CK:DJ,14,0))</f>
        <v>14:51:5,53</v>
      </c>
      <c r="AD27" s="116" t="str">
        <f>IF(ISBLANK($B27),"",VLOOKUP($B27,'Eingabe Zeiten'!CK:DJ,15,0))</f>
        <v>14:57:12,22</v>
      </c>
      <c r="AE27" s="279">
        <f t="shared" si="8"/>
        <v>4.2440972222221873E-3</v>
      </c>
      <c r="AF27" s="132" t="str">
        <f>IF(ISBLANK($B27),"",VLOOKUP($B27,'Eingabe Zeiten'!CK:DJ,16,0))</f>
        <v>0:0:0,0</v>
      </c>
      <c r="AG27" s="117" t="str">
        <f t="shared" si="9"/>
        <v/>
      </c>
      <c r="AH27" s="115" t="str">
        <f>IF(ISBLANK($B27),"",VLOOKUP($B27,'Eingabe Zeiten'!CK:DJ,18,0))</f>
        <v>15:21:43,75</v>
      </c>
      <c r="AI27" s="116" t="str">
        <f>IF(ISBLANK($B27),"",VLOOKUP($B27,'Eingabe Zeiten'!CK:DJ,19,0))</f>
        <v>15:26:59,45</v>
      </c>
      <c r="AJ27" s="279">
        <f t="shared" si="10"/>
        <v>3.6539351851850865E-3</v>
      </c>
      <c r="AK27" s="132" t="str">
        <f>IF(ISBLANK($B27),"",VLOOKUP($B27,'Eingabe Zeiten'!CK:DJ,20,0))</f>
        <v>0:0:0,0</v>
      </c>
      <c r="AL27" s="117" t="str">
        <f t="shared" si="11"/>
        <v/>
      </c>
      <c r="AM27" s="115" t="str">
        <f>IF(ISBLANK($B27),"",VLOOKUP($B27,'Eingabe Zeiten'!CK:DJ,22,0))</f>
        <v>0:0:0,0</v>
      </c>
      <c r="AN27" s="116" t="str">
        <f>IF(ISBLANK($B27),"",VLOOKUP($B27,'Eingabe Zeiten'!CK:DJ,23,0))</f>
        <v>0:0:0,0</v>
      </c>
      <c r="AO27" s="279">
        <f t="shared" si="16"/>
        <v>0</v>
      </c>
      <c r="AP27" s="132" t="str">
        <f>IF(ISBLANK($B27),"",VLOOKUP($B27,'Eingabe Zeiten'!CK:DJ,24,0))</f>
        <v>0:0:0,0</v>
      </c>
      <c r="AQ27" s="117" t="str">
        <f t="shared" si="13"/>
        <v/>
      </c>
      <c r="AR27" s="136" t="str">
        <f>IF(ISBLANK($B27),"",VLOOKUP($B27,'Eingabe Zeiten'!CK:DJ,26,0))</f>
        <v>0:0:0,0</v>
      </c>
      <c r="AS27" s="213"/>
      <c r="AT27" s="279">
        <f t="shared" si="14"/>
        <v>1.9593287037036777E-2</v>
      </c>
      <c r="AU27" s="139">
        <f t="shared" si="0"/>
        <v>0</v>
      </c>
      <c r="AV27" s="224">
        <f t="shared" si="17"/>
        <v>1.9593287037036777E-2</v>
      </c>
    </row>
    <row r="28" spans="2:48" s="214" customFormat="1" ht="27.75" customHeight="1">
      <c r="B28" s="118">
        <v>22</v>
      </c>
      <c r="C28" s="275">
        <f>IF(ISBLANK($B28),"",VLOOKUP($B28,Teilnehmer!$B$4:$K$199,2,0))</f>
        <v>2</v>
      </c>
      <c r="D28" s="276">
        <f>IF(ISBLANK($B28),"",VLOOKUP($B28,Teilnehmer!$B$4:$K$199,3,0))</f>
        <v>9</v>
      </c>
      <c r="E28" s="93" t="str">
        <f>IF(ISBLANK($B28),"",VLOOKUP($B28,Teilnehmer!$B$4:$K$199,4,0))</f>
        <v>Schindler Thomas</v>
      </c>
      <c r="F28" s="285">
        <f>IF(ISBLANK($B28),"",VLOOKUP($B28,Teilnehmer!$B$4:$K$199,5,0))</f>
        <v>16713</v>
      </c>
      <c r="G28" s="288" t="str">
        <f>IF(ISBLANK($B28),"",VLOOKUP($B28,Teilnehmer!$B$4:$K$199,6,0))</f>
        <v>AC Gunzenhausen</v>
      </c>
      <c r="H28" s="93" t="str">
        <f>IF(ISBLANK($B28),"",VLOOKUP($B28,Teilnehmer!$B$4:$K$199,7,0))</f>
        <v>Bader Alina</v>
      </c>
      <c r="I28" s="285">
        <f>IF(ISBLANK($B28),"",VLOOKUP($B28,Teilnehmer!$B$4:$K$199,8,0))</f>
        <v>16723</v>
      </c>
      <c r="J28" s="289" t="str">
        <f>IF(ISBLANK($B28),"",VLOOKUP($B28,Teilnehmer!$B$4:$K$199,9,0))</f>
        <v>MSC Untergröningen</v>
      </c>
      <c r="K28" s="180" t="str">
        <f>IF(ISBLANK($B28),"",VLOOKUP($B28,Teilnehmer!$B$4:$K$199,10,0))</f>
        <v>Honda Civic</v>
      </c>
      <c r="L28" s="212"/>
      <c r="M28" s="226">
        <f t="shared" si="1"/>
        <v>22</v>
      </c>
      <c r="N28" s="115" t="str">
        <f>IF(ISBLANK($B28),"",VLOOKUP($B28,'Eingabe Zeiten'!CK:DJ,2,0))</f>
        <v>11:18:43,9</v>
      </c>
      <c r="O28" s="116" t="str">
        <f>IF(ISBLANK($B28),"",VLOOKUP($B28,'Eingabe Zeiten'!CK:DJ,3,0))</f>
        <v>11:24:11,15</v>
      </c>
      <c r="P28" s="279">
        <f t="shared" si="2"/>
        <v>3.7876157407407685E-3</v>
      </c>
      <c r="Q28" s="132" t="str">
        <f>IF(ISBLANK($B28),"",VLOOKUP($B28,'Eingabe Zeiten'!CK:DJ,4,0))</f>
        <v>0:0:0,0</v>
      </c>
      <c r="R28" s="117" t="str">
        <f t="shared" si="3"/>
        <v/>
      </c>
      <c r="S28" s="115" t="str">
        <f>IF(ISBLANK($B28),"",VLOOKUP($B28,'Eingabe Zeiten'!CK:DJ,6,0))</f>
        <v>::,</v>
      </c>
      <c r="T28" s="116" t="str">
        <f>IF(ISBLANK($B28),"",VLOOKUP($B28,'Eingabe Zeiten'!CK:DJ,7,0))</f>
        <v>::,</v>
      </c>
      <c r="U28" s="279" t="s">
        <v>287</v>
      </c>
      <c r="V28" s="132" t="str">
        <f>IF(ISBLANK($B28),"",VLOOKUP($B28,'Eingabe Zeiten'!CK:DJ,8,0))</f>
        <v>0:0:0,0</v>
      </c>
      <c r="W28" s="117" t="str">
        <f t="shared" si="5"/>
        <v/>
      </c>
      <c r="X28" s="115" t="str">
        <f>IF(ISBLANK($B28),"",VLOOKUP($B28,'Eingabe Zeiten'!CK:DJ,10,0))</f>
        <v>::,</v>
      </c>
      <c r="Y28" s="116" t="str">
        <f>IF(ISBLANK($B28),"",VLOOKUP($B28,'Eingabe Zeiten'!CK:DJ,11,0))</f>
        <v>::,</v>
      </c>
      <c r="Z28" s="279" t="s">
        <v>287</v>
      </c>
      <c r="AA28" s="132" t="str">
        <f>IF(ISBLANK($B28),"",VLOOKUP($B28,'Eingabe Zeiten'!CK:DJ,12,0))</f>
        <v>0:0:0,0</v>
      </c>
      <c r="AB28" s="117" t="str">
        <f t="shared" si="7"/>
        <v/>
      </c>
      <c r="AC28" s="115" t="str">
        <f>IF(ISBLANK($B28),"",VLOOKUP($B28,'Eingabe Zeiten'!CK:DJ,14,0))</f>
        <v>::,</v>
      </c>
      <c r="AD28" s="116" t="str">
        <f>IF(ISBLANK($B28),"",VLOOKUP($B28,'Eingabe Zeiten'!CK:DJ,15,0))</f>
        <v>::,</v>
      </c>
      <c r="AE28" s="279" t="s">
        <v>287</v>
      </c>
      <c r="AF28" s="132" t="str">
        <f>IF(ISBLANK($B28),"",VLOOKUP($B28,'Eingabe Zeiten'!CK:DJ,16,0))</f>
        <v>0:0:0,0</v>
      </c>
      <c r="AG28" s="117" t="str">
        <f t="shared" si="9"/>
        <v/>
      </c>
      <c r="AH28" s="115" t="str">
        <f>IF(ISBLANK($B28),"",VLOOKUP($B28,'Eingabe Zeiten'!CK:DJ,18,0))</f>
        <v>::,</v>
      </c>
      <c r="AI28" s="116" t="str">
        <f>IF(ISBLANK($B28),"",VLOOKUP($B28,'Eingabe Zeiten'!CK:DJ,19,0))</f>
        <v>::,</v>
      </c>
      <c r="AJ28" s="279" t="s">
        <v>287</v>
      </c>
      <c r="AK28" s="132" t="str">
        <f>IF(ISBLANK($B28),"",VLOOKUP($B28,'Eingabe Zeiten'!CK:DJ,20,0))</f>
        <v>0:0:0,0</v>
      </c>
      <c r="AL28" s="117" t="str">
        <f t="shared" si="11"/>
        <v/>
      </c>
      <c r="AM28" s="115" t="str">
        <f>IF(ISBLANK($B28),"",VLOOKUP($B28,'Eingabe Zeiten'!CK:DJ,22,0))</f>
        <v>0:0:0,0</v>
      </c>
      <c r="AN28" s="116" t="str">
        <f>IF(ISBLANK($B28),"",VLOOKUP($B28,'Eingabe Zeiten'!CK:DJ,23,0))</f>
        <v>0:0:0,0</v>
      </c>
      <c r="AO28" s="279">
        <f t="shared" si="16"/>
        <v>0</v>
      </c>
      <c r="AP28" s="132" t="str">
        <f>IF(ISBLANK($B28),"",VLOOKUP($B28,'Eingabe Zeiten'!CK:DJ,24,0))</f>
        <v>0:0:0,0</v>
      </c>
      <c r="AQ28" s="117" t="str">
        <f t="shared" si="13"/>
        <v/>
      </c>
      <c r="AR28" s="136" t="str">
        <f>IF(ISBLANK($B28),"",VLOOKUP($B28,'Eingabe Zeiten'!CK:DJ,26,0))</f>
        <v>0:0:0,0</v>
      </c>
      <c r="AS28" s="213"/>
      <c r="AT28" s="279" t="s">
        <v>287</v>
      </c>
      <c r="AU28" s="139">
        <f t="shared" si="0"/>
        <v>0</v>
      </c>
      <c r="AV28" s="224" t="s">
        <v>287</v>
      </c>
    </row>
    <row r="29" spans="2:48" s="214" customFormat="1" ht="27.75" customHeight="1">
      <c r="B29" s="118">
        <v>23</v>
      </c>
      <c r="C29" s="275">
        <f>IF(ISBLANK($B29),"",VLOOKUP($B29,Teilnehmer!$B$4:$K$199,2,0))</f>
        <v>2</v>
      </c>
      <c r="D29" s="276">
        <f>IF(ISBLANK($B29),"",VLOOKUP($B29,Teilnehmer!$B$4:$K$199,3,0))</f>
        <v>9</v>
      </c>
      <c r="E29" s="93" t="str">
        <f>IF(ISBLANK($B29),"",VLOOKUP($B29,Teilnehmer!$B$4:$K$199,4,0))</f>
        <v>Spieß Jürgen</v>
      </c>
      <c r="F29" s="285">
        <f>IF(ISBLANK($B29),"",VLOOKUP($B29,Teilnehmer!$B$4:$K$199,5,0))</f>
        <v>12467</v>
      </c>
      <c r="G29" s="288" t="str">
        <f>IF(ISBLANK($B29),"",VLOOKUP($B29,Teilnehmer!$B$4:$K$199,6,0))</f>
        <v>MSC Mamming</v>
      </c>
      <c r="H29" s="93" t="str">
        <f>IF(ISBLANK($B29),"",VLOOKUP($B29,Teilnehmer!$B$4:$K$199,7,0))</f>
        <v>Wythe Axel</v>
      </c>
      <c r="I29" s="285">
        <f>IF(ISBLANK($B29),"",VLOOKUP($B29,Teilnehmer!$B$4:$K$199,8,0))</f>
        <v>12778</v>
      </c>
      <c r="J29" s="289" t="str">
        <f>IF(ISBLANK($B29),"",VLOOKUP($B29,Teilnehmer!$B$4:$K$199,9,0))</f>
        <v>MSC Mamming</v>
      </c>
      <c r="K29" s="180" t="str">
        <f>IF(ISBLANK($B29),"",VLOOKUP($B29,Teilnehmer!$B$4:$K$199,10,0))</f>
        <v>Opel Ascona B</v>
      </c>
      <c r="L29" s="212"/>
      <c r="M29" s="226">
        <f t="shared" si="1"/>
        <v>23</v>
      </c>
      <c r="N29" s="115" t="str">
        <f>IF(ISBLANK($B29),"",VLOOKUP($B29,'Eingabe Zeiten'!CK:DJ,2,0))</f>
        <v>11:19:46,16</v>
      </c>
      <c r="O29" s="116" t="str">
        <f>IF(ISBLANK($B29),"",VLOOKUP($B29,'Eingabe Zeiten'!CK:DJ,3,0))</f>
        <v>11:25:28,82</v>
      </c>
      <c r="P29" s="279">
        <f t="shared" si="2"/>
        <v>3.9659722222221694E-3</v>
      </c>
      <c r="Q29" s="132" t="str">
        <f>IF(ISBLANK($B29),"",VLOOKUP($B29,'Eingabe Zeiten'!CK:DJ,4,0))</f>
        <v>0:0:0,0</v>
      </c>
      <c r="R29" s="117" t="str">
        <f t="shared" si="3"/>
        <v/>
      </c>
      <c r="S29" s="115" t="str">
        <f>IF(ISBLANK($B29),"",VLOOKUP($B29,'Eingabe Zeiten'!CK:DJ,6,0))</f>
        <v>12:14:12,70</v>
      </c>
      <c r="T29" s="116" t="str">
        <f>IF(ISBLANK($B29),"",VLOOKUP($B29,'Eingabe Zeiten'!CK:DJ,7,0))</f>
        <v>12:17:57,85</v>
      </c>
      <c r="U29" s="305">
        <v>1.0416666666666666E-2</v>
      </c>
      <c r="V29" s="132" t="str">
        <f>IF(ISBLANK($B29),"",VLOOKUP($B29,'Eingabe Zeiten'!CK:DJ,8,0))</f>
        <v>0:0:0,0</v>
      </c>
      <c r="W29" s="117" t="str">
        <f t="shared" si="5"/>
        <v/>
      </c>
      <c r="X29" s="115" t="str">
        <f>IF(ISBLANK($B29),"",VLOOKUP($B29,'Eingabe Zeiten'!CK:DJ,10,0))</f>
        <v>::,</v>
      </c>
      <c r="Y29" s="116" t="str">
        <f>IF(ISBLANK($B29),"",VLOOKUP($B29,'Eingabe Zeiten'!CK:DJ,11,0))</f>
        <v>::,</v>
      </c>
      <c r="Z29" s="279" t="s">
        <v>287</v>
      </c>
      <c r="AA29" s="132" t="str">
        <f>IF(ISBLANK($B29),"",VLOOKUP($B29,'Eingabe Zeiten'!CK:DJ,12,0))</f>
        <v>0:0:0,0</v>
      </c>
      <c r="AB29" s="117" t="str">
        <f t="shared" si="7"/>
        <v/>
      </c>
      <c r="AC29" s="115" t="str">
        <f>IF(ISBLANK($B29),"",VLOOKUP($B29,'Eingabe Zeiten'!CK:DJ,14,0))</f>
        <v>::,</v>
      </c>
      <c r="AD29" s="116" t="str">
        <f>IF(ISBLANK($B29),"",VLOOKUP($B29,'Eingabe Zeiten'!CK:DJ,15,0))</f>
        <v>::,</v>
      </c>
      <c r="AE29" s="279" t="s">
        <v>287</v>
      </c>
      <c r="AF29" s="132" t="str">
        <f>IF(ISBLANK($B29),"",VLOOKUP($B29,'Eingabe Zeiten'!CK:DJ,16,0))</f>
        <v>0:0:0,0</v>
      </c>
      <c r="AG29" s="117" t="str">
        <f t="shared" si="9"/>
        <v/>
      </c>
      <c r="AH29" s="115" t="str">
        <f>IF(ISBLANK($B29),"",VLOOKUP($B29,'Eingabe Zeiten'!CK:DJ,18,0))</f>
        <v>::,</v>
      </c>
      <c r="AI29" s="116" t="str">
        <f>IF(ISBLANK($B29),"",VLOOKUP($B29,'Eingabe Zeiten'!CK:DJ,19,0))</f>
        <v>::,</v>
      </c>
      <c r="AJ29" s="279" t="s">
        <v>287</v>
      </c>
      <c r="AK29" s="132" t="str">
        <f>IF(ISBLANK($B29),"",VLOOKUP($B29,'Eingabe Zeiten'!CK:DJ,20,0))</f>
        <v>0:0:0,0</v>
      </c>
      <c r="AL29" s="117" t="str">
        <f t="shared" si="11"/>
        <v/>
      </c>
      <c r="AM29" s="115" t="str">
        <f>IF(ISBLANK($B29),"",VLOOKUP($B29,'Eingabe Zeiten'!CK:DJ,22,0))</f>
        <v>0:0:0,0</v>
      </c>
      <c r="AN29" s="116" t="str">
        <f>IF(ISBLANK($B29),"",VLOOKUP($B29,'Eingabe Zeiten'!CK:DJ,23,0))</f>
        <v>0:0:0,0</v>
      </c>
      <c r="AO29" s="279">
        <f t="shared" si="16"/>
        <v>0</v>
      </c>
      <c r="AP29" s="132" t="str">
        <f>IF(ISBLANK($B29),"",VLOOKUP($B29,'Eingabe Zeiten'!CK:DJ,24,0))</f>
        <v>0:0:0,0</v>
      </c>
      <c r="AQ29" s="117" t="str">
        <f t="shared" si="13"/>
        <v/>
      </c>
      <c r="AR29" s="136" t="str">
        <f>IF(ISBLANK($B29),"",VLOOKUP($B29,'Eingabe Zeiten'!CK:DJ,26,0))</f>
        <v>0:0:0,0</v>
      </c>
      <c r="AS29" s="213"/>
      <c r="AT29" s="279" t="s">
        <v>287</v>
      </c>
      <c r="AU29" s="139">
        <f t="shared" si="0"/>
        <v>0</v>
      </c>
      <c r="AV29" s="224" t="s">
        <v>287</v>
      </c>
    </row>
    <row r="30" spans="2:48" s="214" customFormat="1" ht="27.75" customHeight="1">
      <c r="B30" s="118">
        <v>24</v>
      </c>
      <c r="C30" s="275">
        <f>IF(ISBLANK($B30),"",VLOOKUP($B30,Teilnehmer!$B$4:$K$199,2,0))</f>
        <v>2</v>
      </c>
      <c r="D30" s="276">
        <f>IF(ISBLANK($B30),"",VLOOKUP($B30,Teilnehmer!$B$4:$K$199,3,0))</f>
        <v>9</v>
      </c>
      <c r="E30" s="93" t="str">
        <f>IF(ISBLANK($B30),"",VLOOKUP($B30,Teilnehmer!$B$4:$K$199,4,0))</f>
        <v>Böhringer Jochen</v>
      </c>
      <c r="F30" s="285" t="str">
        <f>IF(ISBLANK($B30),"",VLOOKUP($B30,Teilnehmer!$B$4:$K$199,5,0))</f>
        <v>-</v>
      </c>
      <c r="G30" s="288" t="str">
        <f>IF(ISBLANK($B30),"",VLOOKUP($B30,Teilnehmer!$B$4:$K$199,6,0))</f>
        <v>HWRT Wohlmuthausen</v>
      </c>
      <c r="H30" s="93" t="str">
        <f>IF(ISBLANK($B30),"",VLOOKUP($B30,Teilnehmer!$B$4:$K$199,7,0))</f>
        <v>Arnold Patrick</v>
      </c>
      <c r="I30" s="285" t="str">
        <f>IF(ISBLANK($B30),"",VLOOKUP($B30,Teilnehmer!$B$4:$K$199,8,0))</f>
        <v>-</v>
      </c>
      <c r="J30" s="289" t="str">
        <f>IF(ISBLANK($B30),"",VLOOKUP($B30,Teilnehmer!$B$4:$K$199,9,0))</f>
        <v>HWRT Wohlmuthausen</v>
      </c>
      <c r="K30" s="180" t="str">
        <f>IF(ISBLANK($B30),"",VLOOKUP($B30,Teilnehmer!$B$4:$K$199,10,0))</f>
        <v>BMW E30 - 318 IS</v>
      </c>
      <c r="L30" s="212"/>
      <c r="M30" s="226">
        <f t="shared" si="1"/>
        <v>24</v>
      </c>
      <c r="N30" s="115" t="str">
        <f>IF(ISBLANK($B30),"",VLOOKUP($B30,'Eingabe Zeiten'!CK:DJ,2,0))</f>
        <v>11:21:13,80</v>
      </c>
      <c r="O30" s="116" t="str">
        <f>IF(ISBLANK($B30),"",VLOOKUP($B30,'Eingabe Zeiten'!CK:DJ,3,0))</f>
        <v>11:26:27,5</v>
      </c>
      <c r="P30" s="279">
        <f t="shared" si="2"/>
        <v>3.6307870370370088E-3</v>
      </c>
      <c r="Q30" s="132" t="str">
        <f>IF(ISBLANK($B30),"",VLOOKUP($B30,'Eingabe Zeiten'!CK:DJ,4,0))</f>
        <v>0:0:0,0</v>
      </c>
      <c r="R30" s="117" t="str">
        <f t="shared" si="3"/>
        <v/>
      </c>
      <c r="S30" s="115" t="str">
        <f>IF(ISBLANK($B30),"",VLOOKUP($B30,'Eingabe Zeiten'!CK:DJ,6,0))</f>
        <v>12:14:32,21</v>
      </c>
      <c r="T30" s="116" t="str">
        <f>IF(ISBLANK($B30),"",VLOOKUP($B30,'Eingabe Zeiten'!CK:DJ,7,0))</f>
        <v>12:20:56,81</v>
      </c>
      <c r="U30" s="279">
        <f t="shared" si="4"/>
        <v>4.451388888888852E-3</v>
      </c>
      <c r="V30" s="132" t="str">
        <f>IF(ISBLANK($B30),"",VLOOKUP($B30,'Eingabe Zeiten'!CK:DJ,8,0))</f>
        <v>0:0:0,0</v>
      </c>
      <c r="W30" s="117" t="str">
        <f t="shared" si="5"/>
        <v/>
      </c>
      <c r="X30" s="115" t="str">
        <f>IF(ISBLANK($B30),"",VLOOKUP($B30,'Eingabe Zeiten'!CK:DJ,10,0))</f>
        <v>13:37:42,51</v>
      </c>
      <c r="Y30" s="116" t="str">
        <f>IF(ISBLANK($B30),"",VLOOKUP($B30,'Eingabe Zeiten'!CK:DJ,11,0))</f>
        <v>13:42:54,53</v>
      </c>
      <c r="Z30" s="279">
        <f t="shared" si="6"/>
        <v>3.611342592592548E-3</v>
      </c>
      <c r="AA30" s="132" t="str">
        <f>IF(ISBLANK($B30),"",VLOOKUP($B30,'Eingabe Zeiten'!CK:DJ,12,0))</f>
        <v>0:0:0,0</v>
      </c>
      <c r="AB30" s="117" t="str">
        <f t="shared" si="7"/>
        <v/>
      </c>
      <c r="AC30" s="115" t="str">
        <f>IF(ISBLANK($B30),"",VLOOKUP($B30,'Eingabe Zeiten'!CK:DJ,14,0))</f>
        <v>::,</v>
      </c>
      <c r="AD30" s="116" t="str">
        <f>IF(ISBLANK($B30),"",VLOOKUP($B30,'Eingabe Zeiten'!CK:DJ,15,0))</f>
        <v>::,</v>
      </c>
      <c r="AE30" s="279" t="s">
        <v>287</v>
      </c>
      <c r="AF30" s="132" t="str">
        <f>IF(ISBLANK($B30),"",VLOOKUP($B30,'Eingabe Zeiten'!CK:DJ,16,0))</f>
        <v>0:0:0,0</v>
      </c>
      <c r="AG30" s="117" t="str">
        <f t="shared" si="9"/>
        <v/>
      </c>
      <c r="AH30" s="115" t="str">
        <f>IF(ISBLANK($B30),"",VLOOKUP($B30,'Eingabe Zeiten'!CK:DJ,18,0))</f>
        <v>::,</v>
      </c>
      <c r="AI30" s="116" t="str">
        <f>IF(ISBLANK($B30),"",VLOOKUP($B30,'Eingabe Zeiten'!CK:DJ,19,0))</f>
        <v>::,</v>
      </c>
      <c r="AJ30" s="279" t="s">
        <v>287</v>
      </c>
      <c r="AK30" s="132" t="str">
        <f>IF(ISBLANK($B30),"",VLOOKUP($B30,'Eingabe Zeiten'!CK:DJ,20,0))</f>
        <v>0:0:0,0</v>
      </c>
      <c r="AL30" s="117" t="str">
        <f t="shared" si="11"/>
        <v/>
      </c>
      <c r="AM30" s="115" t="str">
        <f>IF(ISBLANK($B30),"",VLOOKUP($B30,'Eingabe Zeiten'!CK:DJ,22,0))</f>
        <v>0:0:0,0</v>
      </c>
      <c r="AN30" s="116" t="str">
        <f>IF(ISBLANK($B30),"",VLOOKUP($B30,'Eingabe Zeiten'!CK:DJ,23,0))</f>
        <v>0:0:0,0</v>
      </c>
      <c r="AO30" s="279">
        <f t="shared" si="16"/>
        <v>0</v>
      </c>
      <c r="AP30" s="132" t="str">
        <f>IF(ISBLANK($B30),"",VLOOKUP($B30,'Eingabe Zeiten'!CK:DJ,24,0))</f>
        <v>0:0:0,0</v>
      </c>
      <c r="AQ30" s="117" t="str">
        <f t="shared" si="13"/>
        <v/>
      </c>
      <c r="AR30" s="136" t="str">
        <f>IF(ISBLANK($B30),"",VLOOKUP($B30,'Eingabe Zeiten'!CK:DJ,26,0))</f>
        <v>0:0:0,0</v>
      </c>
      <c r="AS30" s="213"/>
      <c r="AT30" s="279" t="s">
        <v>287</v>
      </c>
      <c r="AU30" s="139">
        <f t="shared" si="0"/>
        <v>0</v>
      </c>
      <c r="AV30" s="224" t="s">
        <v>287</v>
      </c>
    </row>
    <row r="31" spans="2:48" s="214" customFormat="1" ht="27.75" customHeight="1">
      <c r="B31" s="118">
        <v>25</v>
      </c>
      <c r="C31" s="275">
        <f>IF(ISBLANK($B31),"",VLOOKUP($B31,Teilnehmer!$B$4:$K$199,2,0))</f>
        <v>2</v>
      </c>
      <c r="D31" s="276">
        <f>IF(ISBLANK($B31),"",VLOOKUP($B31,Teilnehmer!$B$4:$K$199,3,0))</f>
        <v>9</v>
      </c>
      <c r="E31" s="93" t="str">
        <f>IF(ISBLANK($B31),"",VLOOKUP($B31,Teilnehmer!$B$4:$K$199,4,0))</f>
        <v>Wünsch Oliver</v>
      </c>
      <c r="F31" s="285">
        <f>IF(ISBLANK($B31),"",VLOOKUP($B31,Teilnehmer!$B$4:$K$199,5,0))</f>
        <v>15506</v>
      </c>
      <c r="G31" s="288" t="str">
        <f>IF(ISBLANK($B31),"",VLOOKUP($B31,Teilnehmer!$B$4:$K$199,6,0))</f>
        <v>Scuderia Offenbach / Orange Motorsport</v>
      </c>
      <c r="H31" s="93" t="str">
        <f>IF(ISBLANK($B31),"",VLOOKUP($B31,Teilnehmer!$B$4:$K$199,7,0))</f>
        <v>Manger Moritz</v>
      </c>
      <c r="I31" s="285" t="str">
        <f>IF(ISBLANK($B31),"",VLOOKUP($B31,Teilnehmer!$B$4:$K$199,8,0))</f>
        <v>-</v>
      </c>
      <c r="J31" s="289" t="str">
        <f>IF(ISBLANK($B31),"",VLOOKUP($B31,Teilnehmer!$B$4:$K$199,9,0))</f>
        <v>Scuderia Offenbach</v>
      </c>
      <c r="K31" s="180" t="str">
        <f>IF(ISBLANK($B31),"",VLOOKUP($B31,Teilnehmer!$B$4:$K$199,10,0))</f>
        <v>VW Golf II GTI 16V</v>
      </c>
      <c r="L31" s="212"/>
      <c r="M31" s="226">
        <f t="shared" si="1"/>
        <v>25</v>
      </c>
      <c r="N31" s="115" t="str">
        <f>IF(ISBLANK($B31),"",VLOOKUP($B31,'Eingabe Zeiten'!CK:DJ,2,0))</f>
        <v>11:21:47,14</v>
      </c>
      <c r="O31" s="116" t="str">
        <f>IF(ISBLANK($B31),"",VLOOKUP($B31,'Eingabe Zeiten'!CK:DJ,3,0))</f>
        <v>11:27:7,98</v>
      </c>
      <c r="P31" s="279">
        <f t="shared" si="2"/>
        <v>3.7134259259259395E-3</v>
      </c>
      <c r="Q31" s="132" t="str">
        <f>IF(ISBLANK($B31),"",VLOOKUP($B31,'Eingabe Zeiten'!CK:DJ,4,0))</f>
        <v>0:0:0,0</v>
      </c>
      <c r="R31" s="117" t="str">
        <f t="shared" si="3"/>
        <v/>
      </c>
      <c r="S31" s="115" t="str">
        <f>IF(ISBLANK($B31),"",VLOOKUP($B31,'Eingabe Zeiten'!CK:DJ,6,0))</f>
        <v>12:20:0,77</v>
      </c>
      <c r="T31" s="116" t="str">
        <f>IF(ISBLANK($B31),"",VLOOKUP($B31,'Eingabe Zeiten'!CK:DJ,7,0))</f>
        <v>12:26:13,83</v>
      </c>
      <c r="U31" s="279">
        <f t="shared" si="4"/>
        <v>4.3178240740742169E-3</v>
      </c>
      <c r="V31" s="132" t="str">
        <f>IF(ISBLANK($B31),"",VLOOKUP($B31,'Eingabe Zeiten'!CK:DJ,8,0))</f>
        <v>0:0:0,0</v>
      </c>
      <c r="W31" s="117" t="str">
        <f t="shared" si="5"/>
        <v/>
      </c>
      <c r="X31" s="115" t="str">
        <f>IF(ISBLANK($B31),"",VLOOKUP($B31,'Eingabe Zeiten'!CK:DJ,10,0))</f>
        <v>13:38:11,17</v>
      </c>
      <c r="Y31" s="116" t="str">
        <f>IF(ISBLANK($B31),"",VLOOKUP($B31,'Eingabe Zeiten'!CK:DJ,11,0))</f>
        <v>13:43:27,40</v>
      </c>
      <c r="Z31" s="279">
        <f t="shared" si="6"/>
        <v>3.6600694444445248E-3</v>
      </c>
      <c r="AA31" s="132" t="str">
        <f>IF(ISBLANK($B31),"",VLOOKUP($B31,'Eingabe Zeiten'!CK:DJ,12,0))</f>
        <v>0:0:0,0</v>
      </c>
      <c r="AB31" s="117" t="str">
        <f t="shared" si="7"/>
        <v/>
      </c>
      <c r="AC31" s="115" t="str">
        <f>IF(ISBLANK($B31),"",VLOOKUP($B31,'Eingabe Zeiten'!CK:DJ,14,0))</f>
        <v>14:51:35,73</v>
      </c>
      <c r="AD31" s="116" t="str">
        <f>IF(ISBLANK($B31),"",VLOOKUP($B31,'Eingabe Zeiten'!CK:DJ,15,0))</f>
        <v>14:57:39,21</v>
      </c>
      <c r="AE31" s="279">
        <f t="shared" si="8"/>
        <v>4.2069444444444715E-3</v>
      </c>
      <c r="AF31" s="132" t="str">
        <f>IF(ISBLANK($B31),"",VLOOKUP($B31,'Eingabe Zeiten'!CK:DJ,16,0))</f>
        <v>0:0:0,0</v>
      </c>
      <c r="AG31" s="117" t="str">
        <f t="shared" si="9"/>
        <v/>
      </c>
      <c r="AH31" s="115" t="str">
        <f>IF(ISBLANK($B31),"",VLOOKUP($B31,'Eingabe Zeiten'!CK:DJ,18,0))</f>
        <v>15:24:0,97</v>
      </c>
      <c r="AI31" s="116" t="str">
        <f>IF(ISBLANK($B31),"",VLOOKUP($B31,'Eingabe Zeiten'!CK:DJ,19,0))</f>
        <v>15:29:19,90</v>
      </c>
      <c r="AJ31" s="279">
        <f t="shared" si="10"/>
        <v>3.6913194444444519E-3</v>
      </c>
      <c r="AK31" s="132" t="str">
        <f>IF(ISBLANK($B31),"",VLOOKUP($B31,'Eingabe Zeiten'!CK:DJ,20,0))</f>
        <v>0:0:30,0</v>
      </c>
      <c r="AL31" s="117" t="str">
        <f t="shared" si="11"/>
        <v/>
      </c>
      <c r="AM31" s="115" t="str">
        <f>IF(ISBLANK($B31),"",VLOOKUP($B31,'Eingabe Zeiten'!CK:DJ,22,0))</f>
        <v>0:0:0,0</v>
      </c>
      <c r="AN31" s="116" t="str">
        <f>IF(ISBLANK($B31),"",VLOOKUP($B31,'Eingabe Zeiten'!CK:DJ,23,0))</f>
        <v>0:0:0,0</v>
      </c>
      <c r="AO31" s="279">
        <f t="shared" si="16"/>
        <v>0</v>
      </c>
      <c r="AP31" s="132" t="str">
        <f>IF(ISBLANK($B31),"",VLOOKUP($B31,'Eingabe Zeiten'!CK:DJ,24,0))</f>
        <v>0:0:0,0</v>
      </c>
      <c r="AQ31" s="117" t="str">
        <f t="shared" si="13"/>
        <v/>
      </c>
      <c r="AR31" s="136" t="str">
        <f>IF(ISBLANK($B31),"",VLOOKUP($B31,'Eingabe Zeiten'!CK:DJ,26,0))</f>
        <v>0:0:0,0</v>
      </c>
      <c r="AS31" s="213"/>
      <c r="AT31" s="279">
        <f t="shared" si="14"/>
        <v>1.9589583333333604E-2</v>
      </c>
      <c r="AU31" s="139">
        <f t="shared" si="0"/>
        <v>3.4722222222222224E-4</v>
      </c>
      <c r="AV31" s="224">
        <f t="shared" si="17"/>
        <v>1.9936805555555825E-2</v>
      </c>
    </row>
    <row r="32" spans="2:48" s="214" customFormat="1" ht="27.75" customHeight="1">
      <c r="B32" s="118">
        <v>26</v>
      </c>
      <c r="C32" s="275">
        <f>IF(ISBLANK($B32),"",VLOOKUP($B32,Teilnehmer!$B$4:$K$199,2,0))</f>
        <v>2</v>
      </c>
      <c r="D32" s="276">
        <f>IF(ISBLANK($B32),"",VLOOKUP($B32,Teilnehmer!$B$4:$K$199,3,0))</f>
        <v>9</v>
      </c>
      <c r="E32" s="93" t="str">
        <f>IF(ISBLANK($B32),"",VLOOKUP($B32,Teilnehmer!$B$4:$K$199,4,0))</f>
        <v>Hammel Daniel</v>
      </c>
      <c r="F32" s="285" t="str">
        <f>IF(ISBLANK($B32),"",VLOOKUP($B32,Teilnehmer!$B$4:$K$199,5,0))</f>
        <v>-</v>
      </c>
      <c r="G32" s="288" t="str">
        <f>IF(ISBLANK($B32),"",VLOOKUP($B32,Teilnehmer!$B$4:$K$199,6,0))</f>
        <v>HMC Öhringen</v>
      </c>
      <c r="H32" s="93" t="str">
        <f>IF(ISBLANK($B32),"",VLOOKUP($B32,Teilnehmer!$B$4:$K$199,7,0))</f>
        <v>Klotz Matthias</v>
      </c>
      <c r="I32" s="285" t="str">
        <f>IF(ISBLANK($B32),"",VLOOKUP($B32,Teilnehmer!$B$4:$K$199,8,0))</f>
        <v>-</v>
      </c>
      <c r="J32" s="289" t="str">
        <f>IF(ISBLANK($B32),"",VLOOKUP($B32,Teilnehmer!$B$4:$K$199,9,0))</f>
        <v>-</v>
      </c>
      <c r="K32" s="180" t="str">
        <f>IF(ISBLANK($B32),"",VLOOKUP($B32,Teilnehmer!$B$4:$K$199,10,0))</f>
        <v>Honda Civic Type-R FN2</v>
      </c>
      <c r="L32" s="212"/>
      <c r="M32" s="226">
        <f t="shared" si="1"/>
        <v>26</v>
      </c>
      <c r="N32" s="115" t="str">
        <f>IF(ISBLANK($B32),"",VLOOKUP($B32,'Eingabe Zeiten'!CK:DJ,2,0))</f>
        <v>11:23:32,37</v>
      </c>
      <c r="O32" s="116" t="str">
        <f>IF(ISBLANK($B32),"",VLOOKUP($B32,'Eingabe Zeiten'!CK:DJ,3,0))</f>
        <v>11:28:41,67</v>
      </c>
      <c r="P32" s="279">
        <f t="shared" si="2"/>
        <v>3.5798611111110823E-3</v>
      </c>
      <c r="Q32" s="132" t="str">
        <f>IF(ISBLANK($B32),"",VLOOKUP($B32,'Eingabe Zeiten'!CK:DJ,4,0))</f>
        <v>0:0:0,0</v>
      </c>
      <c r="R32" s="117" t="str">
        <f t="shared" si="3"/>
        <v/>
      </c>
      <c r="S32" s="115" t="str">
        <f>IF(ISBLANK($B32),"",VLOOKUP($B32,'Eingabe Zeiten'!CK:DJ,6,0))</f>
        <v>12:20:19,28</v>
      </c>
      <c r="T32" s="116" t="str">
        <f>IF(ISBLANK($B32),"",VLOOKUP($B32,'Eingabe Zeiten'!CK:DJ,7,0))</f>
        <v>12:26:27,8</v>
      </c>
      <c r="U32" s="279">
        <f t="shared" si="4"/>
        <v>4.2652777777778539E-3</v>
      </c>
      <c r="V32" s="132" t="str">
        <f>IF(ISBLANK($B32),"",VLOOKUP($B32,'Eingabe Zeiten'!CK:DJ,8,0))</f>
        <v>0:0:0,0</v>
      </c>
      <c r="W32" s="117" t="str">
        <f t="shared" si="5"/>
        <v/>
      </c>
      <c r="X32" s="115" t="str">
        <f>IF(ISBLANK($B32),"",VLOOKUP($B32,'Eingabe Zeiten'!CK:DJ,10,0))</f>
        <v>13:41:18,41</v>
      </c>
      <c r="Y32" s="116" t="str">
        <f>IF(ISBLANK($B32),"",VLOOKUP($B32,'Eingabe Zeiten'!CK:DJ,11,0))</f>
        <v>13:46:27,48</v>
      </c>
      <c r="Z32" s="279">
        <f t="shared" si="6"/>
        <v>3.5771990740740556E-3</v>
      </c>
      <c r="AA32" s="132" t="str">
        <f>IF(ISBLANK($B32),"",VLOOKUP($B32,'Eingabe Zeiten'!CK:DJ,12,0))</f>
        <v>0:0:0,0</v>
      </c>
      <c r="AB32" s="117" t="str">
        <f t="shared" si="7"/>
        <v/>
      </c>
      <c r="AC32" s="115" t="str">
        <f>IF(ISBLANK($B32),"",VLOOKUP($B32,'Eingabe Zeiten'!CK:DJ,14,0))</f>
        <v>14:55:33,18</v>
      </c>
      <c r="AD32" s="116" t="str">
        <f>IF(ISBLANK($B32),"",VLOOKUP($B32,'Eingabe Zeiten'!CK:DJ,15,0))</f>
        <v>15:1:33,62</v>
      </c>
      <c r="AE32" s="279">
        <f t="shared" si="8"/>
        <v>4.1717592592592778E-3</v>
      </c>
      <c r="AF32" s="132" t="str">
        <f>IF(ISBLANK($B32),"",VLOOKUP($B32,'Eingabe Zeiten'!CK:DJ,16,0))</f>
        <v>0:0:0,0</v>
      </c>
      <c r="AG32" s="117" t="str">
        <f t="shared" si="9"/>
        <v/>
      </c>
      <c r="AH32" s="115" t="str">
        <f>IF(ISBLANK($B32),"",VLOOKUP($B32,'Eingabe Zeiten'!CK:DJ,18,0))</f>
        <v>15:27:6,67</v>
      </c>
      <c r="AI32" s="116" t="str">
        <f>IF(ISBLANK($B32),"",VLOOKUP($B32,'Eingabe Zeiten'!CK:DJ,19,0))</f>
        <v>15:32:18,37</v>
      </c>
      <c r="AJ32" s="279">
        <f t="shared" si="10"/>
        <v>3.607638888888931E-3</v>
      </c>
      <c r="AK32" s="132" t="str">
        <f>IF(ISBLANK($B32),"",VLOOKUP($B32,'Eingabe Zeiten'!CK:DJ,20,0))</f>
        <v>0:0:0,0</v>
      </c>
      <c r="AL32" s="117" t="str">
        <f t="shared" si="11"/>
        <v/>
      </c>
      <c r="AM32" s="115" t="str">
        <f>IF(ISBLANK($B32),"",VLOOKUP($B32,'Eingabe Zeiten'!CK:DJ,22,0))</f>
        <v>0:0:0,0</v>
      </c>
      <c r="AN32" s="116" t="str">
        <f>IF(ISBLANK($B32),"",VLOOKUP($B32,'Eingabe Zeiten'!CK:DJ,23,0))</f>
        <v>0:0:0,0</v>
      </c>
      <c r="AO32" s="279">
        <f t="shared" si="16"/>
        <v>0</v>
      </c>
      <c r="AP32" s="132" t="str">
        <f>IF(ISBLANK($B32),"",VLOOKUP($B32,'Eingabe Zeiten'!CK:DJ,24,0))</f>
        <v>0:0:0,0</v>
      </c>
      <c r="AQ32" s="117" t="str">
        <f t="shared" si="13"/>
        <v/>
      </c>
      <c r="AR32" s="136" t="str">
        <f>IF(ISBLANK($B32),"",VLOOKUP($B32,'Eingabe Zeiten'!CK:DJ,26,0))</f>
        <v>0:0:0,0</v>
      </c>
      <c r="AS32" s="213"/>
      <c r="AT32" s="279">
        <f t="shared" si="14"/>
        <v>1.9201736111111201E-2</v>
      </c>
      <c r="AU32" s="139">
        <f t="shared" si="0"/>
        <v>0</v>
      </c>
      <c r="AV32" s="224">
        <f t="shared" si="17"/>
        <v>1.9201736111111201E-2</v>
      </c>
    </row>
    <row r="33" spans="2:48" s="214" customFormat="1" ht="27.75" customHeight="1">
      <c r="B33" s="118">
        <v>27</v>
      </c>
      <c r="C33" s="275">
        <f>IF(ISBLANK($B33),"",VLOOKUP($B33,Teilnehmer!$B$4:$K$199,2,0))</f>
        <v>2</v>
      </c>
      <c r="D33" s="276">
        <f>IF(ISBLANK($B33),"",VLOOKUP($B33,Teilnehmer!$B$4:$K$199,3,0))</f>
        <v>9</v>
      </c>
      <c r="E33" s="93" t="str">
        <f>IF(ISBLANK($B33),"",VLOOKUP($B33,Teilnehmer!$B$4:$K$199,4,0))</f>
        <v>Kögl Hans</v>
      </c>
      <c r="F33" s="285" t="str">
        <f>IF(ISBLANK($B33),"",VLOOKUP($B33,Teilnehmer!$B$4:$K$199,5,0))</f>
        <v>-</v>
      </c>
      <c r="G33" s="288" t="str">
        <f>IF(ISBLANK($B33),"",VLOOKUP($B33,Teilnehmer!$B$4:$K$199,6,0))</f>
        <v>MSF Freising</v>
      </c>
      <c r="H33" s="93" t="str">
        <f>IF(ISBLANK($B33),"",VLOOKUP($B33,Teilnehmer!$B$4:$K$199,7,0))</f>
        <v>Schwaiger Thomas</v>
      </c>
      <c r="I33" s="285" t="str">
        <f>IF(ISBLANK($B33),"",VLOOKUP($B33,Teilnehmer!$B$4:$K$199,8,0))</f>
        <v>-</v>
      </c>
      <c r="J33" s="289" t="str">
        <f>IF(ISBLANK($B33),"",VLOOKUP($B33,Teilnehmer!$B$4:$K$199,9,0))</f>
        <v>MSF Freising</v>
      </c>
      <c r="K33" s="180" t="str">
        <f>IF(ISBLANK($B33),"",VLOOKUP($B33,Teilnehmer!$B$4:$K$199,10,0))</f>
        <v>Opel Kadett E GSI</v>
      </c>
      <c r="L33" s="212"/>
      <c r="M33" s="226">
        <f t="shared" si="1"/>
        <v>27</v>
      </c>
      <c r="N33" s="115" t="str">
        <f>IF(ISBLANK($B33),"",VLOOKUP($B33,'Eingabe Zeiten'!CK:DJ,2,0))</f>
        <v>11:24:35,59</v>
      </c>
      <c r="O33" s="116" t="str">
        <f>IF(ISBLANK($B33),"",VLOOKUP($B33,'Eingabe Zeiten'!CK:DJ,3,0))</f>
        <v>11:30:34,60</v>
      </c>
      <c r="P33" s="279">
        <f t="shared" si="2"/>
        <v>4.1552083333333267E-3</v>
      </c>
      <c r="Q33" s="132" t="str">
        <f>IF(ISBLANK($B33),"",VLOOKUP($B33,'Eingabe Zeiten'!CK:DJ,4,0))</f>
        <v>0:0:0,0</v>
      </c>
      <c r="R33" s="117" t="str">
        <f t="shared" si="3"/>
        <v/>
      </c>
      <c r="S33" s="115" t="str">
        <f>IF(ISBLANK($B33),"",VLOOKUP($B33,'Eingabe Zeiten'!CK:DJ,6,0))</f>
        <v>12:20:39,46</v>
      </c>
      <c r="T33" s="116" t="str">
        <f>IF(ISBLANK($B33),"",VLOOKUP($B33,'Eingabe Zeiten'!CK:DJ,7,0))</f>
        <v>12:27:46,55</v>
      </c>
      <c r="U33" s="279">
        <f t="shared" si="4"/>
        <v>4.9431712962962893E-3</v>
      </c>
      <c r="V33" s="132" t="str">
        <f>IF(ISBLANK($B33),"",VLOOKUP($B33,'Eingabe Zeiten'!CK:DJ,8,0))</f>
        <v>0:0:0,0</v>
      </c>
      <c r="W33" s="117" t="str">
        <f t="shared" si="5"/>
        <v/>
      </c>
      <c r="X33" s="115" t="str">
        <f>IF(ISBLANK($B33),"",VLOOKUP($B33,'Eingabe Zeiten'!CK:DJ,10,0))</f>
        <v>::,</v>
      </c>
      <c r="Y33" s="116" t="str">
        <f>IF(ISBLANK($B33),"",VLOOKUP($B33,'Eingabe Zeiten'!CK:DJ,11,0))</f>
        <v>::,</v>
      </c>
      <c r="Z33" s="279" t="s">
        <v>287</v>
      </c>
      <c r="AA33" s="132" t="str">
        <f>IF(ISBLANK($B33),"",VLOOKUP($B33,'Eingabe Zeiten'!CK:DJ,12,0))</f>
        <v>0:0:0,0</v>
      </c>
      <c r="AB33" s="117" t="str">
        <f t="shared" si="7"/>
        <v/>
      </c>
      <c r="AC33" s="115" t="str">
        <f>IF(ISBLANK($B33),"",VLOOKUP($B33,'Eingabe Zeiten'!CK:DJ,14,0))</f>
        <v>::,</v>
      </c>
      <c r="AD33" s="116" t="str">
        <f>IF(ISBLANK($B33),"",VLOOKUP($B33,'Eingabe Zeiten'!CK:DJ,15,0))</f>
        <v>::,</v>
      </c>
      <c r="AE33" s="279" t="s">
        <v>287</v>
      </c>
      <c r="AF33" s="132" t="str">
        <f>IF(ISBLANK($B33),"",VLOOKUP($B33,'Eingabe Zeiten'!CK:DJ,16,0))</f>
        <v>0:0:0,0</v>
      </c>
      <c r="AG33" s="117" t="str">
        <f t="shared" si="9"/>
        <v/>
      </c>
      <c r="AH33" s="115" t="str">
        <f>IF(ISBLANK($B33),"",VLOOKUP($B33,'Eingabe Zeiten'!CK:DJ,18,0))</f>
        <v>::,</v>
      </c>
      <c r="AI33" s="116" t="str">
        <f>IF(ISBLANK($B33),"",VLOOKUP($B33,'Eingabe Zeiten'!CK:DJ,19,0))</f>
        <v>::,</v>
      </c>
      <c r="AJ33" s="279" t="s">
        <v>287</v>
      </c>
      <c r="AK33" s="132" t="str">
        <f>IF(ISBLANK($B33),"",VLOOKUP($B33,'Eingabe Zeiten'!CK:DJ,20,0))</f>
        <v>0:0:0,0</v>
      </c>
      <c r="AL33" s="117" t="str">
        <f t="shared" si="11"/>
        <v/>
      </c>
      <c r="AM33" s="115" t="str">
        <f>IF(ISBLANK($B33),"",VLOOKUP($B33,'Eingabe Zeiten'!CK:DJ,22,0))</f>
        <v>0:0:0,0</v>
      </c>
      <c r="AN33" s="116" t="str">
        <f>IF(ISBLANK($B33),"",VLOOKUP($B33,'Eingabe Zeiten'!CK:DJ,23,0))</f>
        <v>0:0:0,0</v>
      </c>
      <c r="AO33" s="279">
        <f t="shared" si="16"/>
        <v>0</v>
      </c>
      <c r="AP33" s="132" t="str">
        <f>IF(ISBLANK($B33),"",VLOOKUP($B33,'Eingabe Zeiten'!CK:DJ,24,0))</f>
        <v>0:0:0,0</v>
      </c>
      <c r="AQ33" s="117" t="str">
        <f t="shared" si="13"/>
        <v/>
      </c>
      <c r="AR33" s="136" t="str">
        <f>IF(ISBLANK($B33),"",VLOOKUP($B33,'Eingabe Zeiten'!CK:DJ,26,0))</f>
        <v>0:0:0,0</v>
      </c>
      <c r="AS33" s="213"/>
      <c r="AT33" s="279" t="s">
        <v>287</v>
      </c>
      <c r="AU33" s="139">
        <f t="shared" si="0"/>
        <v>0</v>
      </c>
      <c r="AV33" s="224" t="s">
        <v>287</v>
      </c>
    </row>
    <row r="34" spans="2:48" s="214" customFormat="1" ht="27.75" customHeight="1">
      <c r="B34" s="118">
        <v>28</v>
      </c>
      <c r="C34" s="275">
        <f>IF(ISBLANK($B34),"",VLOOKUP($B34,Teilnehmer!$B$4:$K$199,2,0))</f>
        <v>2</v>
      </c>
      <c r="D34" s="276">
        <f>IF(ISBLANK($B34),"",VLOOKUP($B34,Teilnehmer!$B$4:$K$199,3,0))</f>
        <v>9</v>
      </c>
      <c r="E34" s="93" t="str">
        <f>IF(ISBLANK($B34),"",VLOOKUP($B34,Teilnehmer!$B$4:$K$199,4,0))</f>
        <v>Teves Daniel</v>
      </c>
      <c r="F34" s="285">
        <f>IF(ISBLANK($B34),"",VLOOKUP($B34,Teilnehmer!$B$4:$K$199,5,0))</f>
        <v>16640</v>
      </c>
      <c r="G34" s="288" t="str">
        <f>IF(ISBLANK($B34),"",VLOOKUP($B34,Teilnehmer!$B$4:$K$199,6,0))</f>
        <v>Taunus-Racing-Team</v>
      </c>
      <c r="H34" s="93" t="str">
        <f>IF(ISBLANK($B34),"",VLOOKUP($B34,Teilnehmer!$B$4:$K$199,7,0))</f>
        <v>Meditz Michael</v>
      </c>
      <c r="I34" s="285" t="str">
        <f>IF(ISBLANK($B34),"",VLOOKUP($B34,Teilnehmer!$B$4:$K$199,8,0))</f>
        <v>-</v>
      </c>
      <c r="J34" s="289" t="str">
        <f>IF(ISBLANK($B34),"",VLOOKUP($B34,Teilnehmer!$B$4:$K$199,9,0))</f>
        <v>-</v>
      </c>
      <c r="K34" s="180" t="str">
        <f>IF(ISBLANK($B34),"",VLOOKUP($B34,Teilnehmer!$B$4:$K$199,10,0))</f>
        <v>BMW 318 IS CUP</v>
      </c>
      <c r="L34" s="212"/>
      <c r="M34" s="226">
        <f t="shared" si="1"/>
        <v>28</v>
      </c>
      <c r="N34" s="115" t="str">
        <f>IF(ISBLANK($B34),"",VLOOKUP($B34,'Eingabe Zeiten'!CK:DJ,2,0))</f>
        <v>11:26:13,42</v>
      </c>
      <c r="O34" s="116" t="str">
        <f>IF(ISBLANK($B34),"",VLOOKUP($B34,'Eingabe Zeiten'!CK:DJ,3,0))</f>
        <v>11:31:48,41</v>
      </c>
      <c r="P34" s="279">
        <f t="shared" si="2"/>
        <v>3.8771990740741336E-3</v>
      </c>
      <c r="Q34" s="132" t="str">
        <f>IF(ISBLANK($B34),"",VLOOKUP($B34,'Eingabe Zeiten'!CK:DJ,4,0))</f>
        <v>0:0:30,0</v>
      </c>
      <c r="R34" s="117" t="str">
        <f t="shared" si="3"/>
        <v/>
      </c>
      <c r="S34" s="115" t="str">
        <f>IF(ISBLANK($B34),"",VLOOKUP($B34,'Eingabe Zeiten'!CK:DJ,6,0))</f>
        <v>12:26:8,74</v>
      </c>
      <c r="T34" s="116" t="str">
        <f>IF(ISBLANK($B34),"",VLOOKUP($B34,'Eingabe Zeiten'!CK:DJ,7,0))</f>
        <v>12:32:32,0</v>
      </c>
      <c r="U34" s="279">
        <f t="shared" si="4"/>
        <v>4.4358796296296577E-3</v>
      </c>
      <c r="V34" s="132" t="str">
        <f>IF(ISBLANK($B34),"",VLOOKUP($B34,'Eingabe Zeiten'!CK:DJ,8,0))</f>
        <v>0:0:0,0</v>
      </c>
      <c r="W34" s="117" t="str">
        <f t="shared" si="5"/>
        <v/>
      </c>
      <c r="X34" s="115" t="str">
        <f>IF(ISBLANK($B34),"",VLOOKUP($B34,'Eingabe Zeiten'!CK:DJ,10,0))</f>
        <v>13:41:59,23</v>
      </c>
      <c r="Y34" s="116" t="str">
        <f>IF(ISBLANK($B34),"",VLOOKUP($B34,'Eingabe Zeiten'!CK:DJ,11,0))</f>
        <v>13:47:33,2</v>
      </c>
      <c r="Z34" s="279">
        <f t="shared" si="6"/>
        <v>3.8653935185184451E-3</v>
      </c>
      <c r="AA34" s="132" t="str">
        <f>IF(ISBLANK($B34),"",VLOOKUP($B34,'Eingabe Zeiten'!CK:DJ,12,0))</f>
        <v>0:0:0,0</v>
      </c>
      <c r="AB34" s="117" t="str">
        <f t="shared" si="7"/>
        <v/>
      </c>
      <c r="AC34" s="115" t="str">
        <f>IF(ISBLANK($B34),"",VLOOKUP($B34,'Eingabe Zeiten'!CK:DJ,14,0))</f>
        <v>14:56:0,88</v>
      </c>
      <c r="AD34" s="116" t="str">
        <f>IF(ISBLANK($B34),"",VLOOKUP($B34,'Eingabe Zeiten'!CK:DJ,15,0))</f>
        <v>15:2:34,86</v>
      </c>
      <c r="AE34" s="279">
        <f t="shared" si="8"/>
        <v>4.5599537037037674E-3</v>
      </c>
      <c r="AF34" s="132" t="str">
        <f>IF(ISBLANK($B34),"",VLOOKUP($B34,'Eingabe Zeiten'!CK:DJ,16,0))</f>
        <v>0:0:0,0</v>
      </c>
      <c r="AG34" s="117" t="str">
        <f t="shared" si="9"/>
        <v/>
      </c>
      <c r="AH34" s="115" t="str">
        <f>IF(ISBLANK($B34),"",VLOOKUP($B34,'Eingabe Zeiten'!CK:DJ,18,0))</f>
        <v>::,</v>
      </c>
      <c r="AI34" s="116" t="str">
        <f>IF(ISBLANK($B34),"",VLOOKUP($B34,'Eingabe Zeiten'!CK:DJ,19,0))</f>
        <v>::,</v>
      </c>
      <c r="AJ34" s="279" t="s">
        <v>287</v>
      </c>
      <c r="AK34" s="132" t="str">
        <f>IF(ISBLANK($B34),"",VLOOKUP($B34,'Eingabe Zeiten'!CK:DJ,20,0))</f>
        <v>0:0:0,0</v>
      </c>
      <c r="AL34" s="117" t="str">
        <f t="shared" si="11"/>
        <v/>
      </c>
      <c r="AM34" s="115" t="str">
        <f>IF(ISBLANK($B34),"",VLOOKUP($B34,'Eingabe Zeiten'!CK:DJ,22,0))</f>
        <v>0:0:0,0</v>
      </c>
      <c r="AN34" s="116" t="str">
        <f>IF(ISBLANK($B34),"",VLOOKUP($B34,'Eingabe Zeiten'!CK:DJ,23,0))</f>
        <v>0:0:0,0</v>
      </c>
      <c r="AO34" s="279">
        <f t="shared" si="16"/>
        <v>0</v>
      </c>
      <c r="AP34" s="132" t="str">
        <f>IF(ISBLANK($B34),"",VLOOKUP($B34,'Eingabe Zeiten'!CK:DJ,24,0))</f>
        <v>0:0:0,0</v>
      </c>
      <c r="AQ34" s="117" t="str">
        <f t="shared" si="13"/>
        <v/>
      </c>
      <c r="AR34" s="136" t="str">
        <f>IF(ISBLANK($B34),"",VLOOKUP($B34,'Eingabe Zeiten'!CK:DJ,26,0))</f>
        <v>0:0:0,0</v>
      </c>
      <c r="AS34" s="213"/>
      <c r="AT34" s="279" t="s">
        <v>287</v>
      </c>
      <c r="AU34" s="139">
        <f t="shared" si="0"/>
        <v>3.4722222222222224E-4</v>
      </c>
      <c r="AV34" s="224" t="s">
        <v>287</v>
      </c>
    </row>
    <row r="35" spans="2:48" s="214" customFormat="1" ht="27.75" customHeight="1">
      <c r="B35" s="118">
        <v>29</v>
      </c>
      <c r="C35" s="275">
        <f>IF(ISBLANK($B35),"",VLOOKUP($B35,Teilnehmer!$B$4:$K$199,2,0))</f>
        <v>2</v>
      </c>
      <c r="D35" s="276">
        <f>IF(ISBLANK($B35),"",VLOOKUP($B35,Teilnehmer!$B$4:$K$199,3,0))</f>
        <v>9</v>
      </c>
      <c r="E35" s="93" t="str">
        <f>IF(ISBLANK($B35),"",VLOOKUP($B35,Teilnehmer!$B$4:$K$199,4,0))</f>
        <v>Kraus Florian</v>
      </c>
      <c r="F35" s="285" t="str">
        <f>IF(ISBLANK($B35),"",VLOOKUP($B35,Teilnehmer!$B$4:$K$199,5,0))</f>
        <v>-</v>
      </c>
      <c r="G35" s="288" t="str">
        <f>IF(ISBLANK($B35),"",VLOOKUP($B35,Teilnehmer!$B$4:$K$199,6,0))</f>
        <v>-</v>
      </c>
      <c r="H35" s="93" t="str">
        <f>IF(ISBLANK($B35),"",VLOOKUP($B35,Teilnehmer!$B$4:$K$199,7,0))</f>
        <v>Thiel Sabrina</v>
      </c>
      <c r="I35" s="285">
        <f>IF(ISBLANK($B35),"",VLOOKUP($B35,Teilnehmer!$B$4:$K$199,8,0))</f>
        <v>14904</v>
      </c>
      <c r="J35" s="289" t="str">
        <f>IF(ISBLANK($B35),"",VLOOKUP($B35,Teilnehmer!$B$4:$K$199,9,0))</f>
        <v>MSC Jura</v>
      </c>
      <c r="K35" s="180" t="str">
        <f>IF(ISBLANK($B35),"",VLOOKUP($B35,Teilnehmer!$B$4:$K$199,10,0))</f>
        <v>VW Golf 3</v>
      </c>
      <c r="L35" s="212"/>
      <c r="M35" s="226">
        <f t="shared" si="1"/>
        <v>29</v>
      </c>
      <c r="N35" s="115" t="str">
        <f>IF(ISBLANK($B35),"",VLOOKUP($B35,'Eingabe Zeiten'!CK:DJ,2,0))</f>
        <v>11:27:48,44</v>
      </c>
      <c r="O35" s="116" t="str">
        <f>IF(ISBLANK($B35),"",VLOOKUP($B35,'Eingabe Zeiten'!CK:DJ,3,0))</f>
        <v>11:33:10,4</v>
      </c>
      <c r="P35" s="279">
        <f t="shared" si="2"/>
        <v>3.7263888888888763E-3</v>
      </c>
      <c r="Q35" s="132" t="str">
        <f>IF(ISBLANK($B35),"",VLOOKUP($B35,'Eingabe Zeiten'!CK:DJ,4,0))</f>
        <v>0:0:30,0</v>
      </c>
      <c r="R35" s="117" t="str">
        <f t="shared" si="3"/>
        <v/>
      </c>
      <c r="S35" s="115" t="str">
        <f>IF(ISBLANK($B35),"",VLOOKUP($B35,'Eingabe Zeiten'!CK:DJ,6,0))</f>
        <v>::,</v>
      </c>
      <c r="T35" s="116" t="str">
        <f>IF(ISBLANK($B35),"",VLOOKUP($B35,'Eingabe Zeiten'!CK:DJ,7,0))</f>
        <v>::,</v>
      </c>
      <c r="U35" s="279" t="s">
        <v>287</v>
      </c>
      <c r="V35" s="132" t="str">
        <f>IF(ISBLANK($B35),"",VLOOKUP($B35,'Eingabe Zeiten'!CK:DJ,8,0))</f>
        <v>0:0:0,0</v>
      </c>
      <c r="W35" s="117" t="str">
        <f t="shared" si="5"/>
        <v/>
      </c>
      <c r="X35" s="115" t="str">
        <f>IF(ISBLANK($B35),"",VLOOKUP($B35,'Eingabe Zeiten'!CK:DJ,10,0))</f>
        <v>::,</v>
      </c>
      <c r="Y35" s="116" t="str">
        <f>IF(ISBLANK($B35),"",VLOOKUP($B35,'Eingabe Zeiten'!CK:DJ,11,0))</f>
        <v>::,</v>
      </c>
      <c r="Z35" s="279" t="s">
        <v>287</v>
      </c>
      <c r="AA35" s="132" t="str">
        <f>IF(ISBLANK($B35),"",VLOOKUP($B35,'Eingabe Zeiten'!CK:DJ,12,0))</f>
        <v>0:0:0,0</v>
      </c>
      <c r="AB35" s="117" t="str">
        <f t="shared" si="7"/>
        <v/>
      </c>
      <c r="AC35" s="115" t="str">
        <f>IF(ISBLANK($B35),"",VLOOKUP($B35,'Eingabe Zeiten'!CK:DJ,14,0))</f>
        <v>::,</v>
      </c>
      <c r="AD35" s="116" t="str">
        <f>IF(ISBLANK($B35),"",VLOOKUP($B35,'Eingabe Zeiten'!CK:DJ,15,0))</f>
        <v>::,</v>
      </c>
      <c r="AE35" s="279" t="s">
        <v>287</v>
      </c>
      <c r="AF35" s="132" t="str">
        <f>IF(ISBLANK($B35),"",VLOOKUP($B35,'Eingabe Zeiten'!CK:DJ,16,0))</f>
        <v>0:0:0,0</v>
      </c>
      <c r="AG35" s="117" t="str">
        <f t="shared" si="9"/>
        <v/>
      </c>
      <c r="AH35" s="115" t="str">
        <f>IF(ISBLANK($B35),"",VLOOKUP($B35,'Eingabe Zeiten'!CK:DJ,18,0))</f>
        <v>::,</v>
      </c>
      <c r="AI35" s="116" t="str">
        <f>IF(ISBLANK($B35),"",VLOOKUP($B35,'Eingabe Zeiten'!CK:DJ,19,0))</f>
        <v>::,</v>
      </c>
      <c r="AJ35" s="279" t="s">
        <v>287</v>
      </c>
      <c r="AK35" s="132" t="str">
        <f>IF(ISBLANK($B35),"",VLOOKUP($B35,'Eingabe Zeiten'!CK:DJ,20,0))</f>
        <v>0:0:0,0</v>
      </c>
      <c r="AL35" s="117" t="str">
        <f t="shared" si="11"/>
        <v/>
      </c>
      <c r="AM35" s="115" t="str">
        <f>IF(ISBLANK($B35),"",VLOOKUP($B35,'Eingabe Zeiten'!CK:DJ,22,0))</f>
        <v>0:0:0,0</v>
      </c>
      <c r="AN35" s="116" t="str">
        <f>IF(ISBLANK($B35),"",VLOOKUP($B35,'Eingabe Zeiten'!CK:DJ,23,0))</f>
        <v>0:0:0,0</v>
      </c>
      <c r="AO35" s="279">
        <f t="shared" si="16"/>
        <v>0</v>
      </c>
      <c r="AP35" s="132" t="str">
        <f>IF(ISBLANK($B35),"",VLOOKUP($B35,'Eingabe Zeiten'!CK:DJ,24,0))</f>
        <v>0:0:0,0</v>
      </c>
      <c r="AQ35" s="117" t="str">
        <f t="shared" si="13"/>
        <v/>
      </c>
      <c r="AR35" s="136" t="str">
        <f>IF(ISBLANK($B35),"",VLOOKUP($B35,'Eingabe Zeiten'!CK:DJ,26,0))</f>
        <v>0:0:0,0</v>
      </c>
      <c r="AS35" s="213"/>
      <c r="AT35" s="279" t="s">
        <v>287</v>
      </c>
      <c r="AU35" s="139">
        <f t="shared" si="0"/>
        <v>3.4722222222222224E-4</v>
      </c>
      <c r="AV35" s="224" t="s">
        <v>287</v>
      </c>
    </row>
    <row r="36" spans="2:48" s="214" customFormat="1" ht="27.75" customHeight="1">
      <c r="B36" s="118">
        <v>30</v>
      </c>
      <c r="C36" s="275">
        <f>IF(ISBLANK($B36),"",VLOOKUP($B36,Teilnehmer!$B$4:$K$199,2,0))</f>
        <v>2</v>
      </c>
      <c r="D36" s="276">
        <f>IF(ISBLANK($B36),"",VLOOKUP($B36,Teilnehmer!$B$4:$K$199,3,0))</f>
        <v>9</v>
      </c>
      <c r="E36" s="93" t="str">
        <f>IF(ISBLANK($B36),"",VLOOKUP($B36,Teilnehmer!$B$4:$K$199,4,0))</f>
        <v>Röhrig Christian</v>
      </c>
      <c r="F36" s="285" t="str">
        <f>IF(ISBLANK($B36),"",VLOOKUP($B36,Teilnehmer!$B$4:$K$199,5,0))</f>
        <v>-</v>
      </c>
      <c r="G36" s="288" t="str">
        <f>IF(ISBLANK($B36),"",VLOOKUP($B36,Teilnehmer!$B$4:$K$199,6,0))</f>
        <v>MSC Zorn</v>
      </c>
      <c r="H36" s="93" t="str">
        <f>IF(ISBLANK($B36),"",VLOOKUP($B36,Teilnehmer!$B$4:$K$199,7,0))</f>
        <v>Behnke Jonas</v>
      </c>
      <c r="I36" s="285" t="str">
        <f>IF(ISBLANK($B36),"",VLOOKUP($B36,Teilnehmer!$B$4:$K$199,8,0))</f>
        <v>-</v>
      </c>
      <c r="J36" s="289" t="str">
        <f>IF(ISBLANK($B36),"",VLOOKUP($B36,Teilnehmer!$B$4:$K$199,9,0))</f>
        <v>MSC Zorn</v>
      </c>
      <c r="K36" s="180" t="str">
        <f>IF(ISBLANK($B36),"",VLOOKUP($B36,Teilnehmer!$B$4:$K$199,10,0))</f>
        <v>Peugeot 309 GTI</v>
      </c>
      <c r="L36" s="212"/>
      <c r="M36" s="226">
        <f t="shared" si="1"/>
        <v>30</v>
      </c>
      <c r="N36" s="115" t="str">
        <f>IF(ISBLANK($B36),"",VLOOKUP($B36,'Eingabe Zeiten'!CK:DJ,2,0))</f>
        <v>::,</v>
      </c>
      <c r="O36" s="116" t="str">
        <f>IF(ISBLANK($B36),"",VLOOKUP($B36,'Eingabe Zeiten'!CK:DJ,3,0))</f>
        <v>::,</v>
      </c>
      <c r="P36" s="279" t="s">
        <v>287</v>
      </c>
      <c r="Q36" s="132" t="str">
        <f>IF(ISBLANK($B36),"",VLOOKUP($B36,'Eingabe Zeiten'!CK:DJ,4,0))</f>
        <v>0:0:0,0</v>
      </c>
      <c r="R36" s="117" t="str">
        <f t="shared" si="3"/>
        <v/>
      </c>
      <c r="S36" s="115" t="str">
        <f>IF(ISBLANK($B36),"",VLOOKUP($B36,'Eingabe Zeiten'!CK:DJ,6,0))</f>
        <v>::,</v>
      </c>
      <c r="T36" s="116" t="str">
        <f>IF(ISBLANK($B36),"",VLOOKUP($B36,'Eingabe Zeiten'!CK:DJ,7,0))</f>
        <v>::,</v>
      </c>
      <c r="U36" s="279" t="s">
        <v>287</v>
      </c>
      <c r="V36" s="132" t="str">
        <f>IF(ISBLANK($B36),"",VLOOKUP($B36,'Eingabe Zeiten'!CK:DJ,8,0))</f>
        <v>0:0:0,0</v>
      </c>
      <c r="W36" s="117" t="str">
        <f t="shared" si="5"/>
        <v/>
      </c>
      <c r="X36" s="115" t="str">
        <f>IF(ISBLANK($B36),"",VLOOKUP($B36,'Eingabe Zeiten'!CK:DJ,10,0))</f>
        <v>::,</v>
      </c>
      <c r="Y36" s="116" t="str">
        <f>IF(ISBLANK($B36),"",VLOOKUP($B36,'Eingabe Zeiten'!CK:DJ,11,0))</f>
        <v>::,</v>
      </c>
      <c r="Z36" s="279" t="s">
        <v>287</v>
      </c>
      <c r="AA36" s="132" t="str">
        <f>IF(ISBLANK($B36),"",VLOOKUP($B36,'Eingabe Zeiten'!CK:DJ,12,0))</f>
        <v>0:0:0,0</v>
      </c>
      <c r="AB36" s="117" t="str">
        <f t="shared" si="7"/>
        <v/>
      </c>
      <c r="AC36" s="115" t="str">
        <f>IF(ISBLANK($B36),"",VLOOKUP($B36,'Eingabe Zeiten'!CK:DJ,14,0))</f>
        <v>::,</v>
      </c>
      <c r="AD36" s="116" t="str">
        <f>IF(ISBLANK($B36),"",VLOOKUP($B36,'Eingabe Zeiten'!CK:DJ,15,0))</f>
        <v>::,</v>
      </c>
      <c r="AE36" s="279" t="s">
        <v>287</v>
      </c>
      <c r="AF36" s="132" t="str">
        <f>IF(ISBLANK($B36),"",VLOOKUP($B36,'Eingabe Zeiten'!CK:DJ,16,0))</f>
        <v>0:0:0,0</v>
      </c>
      <c r="AG36" s="117" t="str">
        <f t="shared" si="9"/>
        <v/>
      </c>
      <c r="AH36" s="115" t="str">
        <f>IF(ISBLANK($B36),"",VLOOKUP($B36,'Eingabe Zeiten'!CK:DJ,18,0))</f>
        <v>::,</v>
      </c>
      <c r="AI36" s="116" t="str">
        <f>IF(ISBLANK($B36),"",VLOOKUP($B36,'Eingabe Zeiten'!CK:DJ,19,0))</f>
        <v>::,</v>
      </c>
      <c r="AJ36" s="279" t="s">
        <v>287</v>
      </c>
      <c r="AK36" s="132" t="str">
        <f>IF(ISBLANK($B36),"",VLOOKUP($B36,'Eingabe Zeiten'!CK:DJ,20,0))</f>
        <v>0:0:0,0</v>
      </c>
      <c r="AL36" s="117" t="str">
        <f t="shared" si="11"/>
        <v/>
      </c>
      <c r="AM36" s="115" t="str">
        <f>IF(ISBLANK($B36),"",VLOOKUP($B36,'Eingabe Zeiten'!CK:DJ,22,0))</f>
        <v>0:0:0,0</v>
      </c>
      <c r="AN36" s="116" t="str">
        <f>IF(ISBLANK($B36),"",VLOOKUP($B36,'Eingabe Zeiten'!CK:DJ,23,0))</f>
        <v>0:0:0,0</v>
      </c>
      <c r="AO36" s="279">
        <f t="shared" si="16"/>
        <v>0</v>
      </c>
      <c r="AP36" s="132" t="str">
        <f>IF(ISBLANK($B36),"",VLOOKUP($B36,'Eingabe Zeiten'!CK:DJ,24,0))</f>
        <v>0:0:0,0</v>
      </c>
      <c r="AQ36" s="117" t="str">
        <f t="shared" si="13"/>
        <v/>
      </c>
      <c r="AR36" s="136" t="str">
        <f>IF(ISBLANK($B36),"",VLOOKUP($B36,'Eingabe Zeiten'!CK:DJ,26,0))</f>
        <v>0:0:0,0</v>
      </c>
      <c r="AS36" s="213"/>
      <c r="AT36" s="279" t="s">
        <v>287</v>
      </c>
      <c r="AU36" s="139">
        <f t="shared" si="0"/>
        <v>0</v>
      </c>
      <c r="AV36" s="224" t="s">
        <v>287</v>
      </c>
    </row>
    <row r="37" spans="2:48" s="214" customFormat="1" ht="27.75" customHeight="1">
      <c r="B37" s="118">
        <v>31</v>
      </c>
      <c r="C37" s="275">
        <f>IF(ISBLANK($B37),"",VLOOKUP($B37,Teilnehmer!$B$4:$K$199,2,0))</f>
        <v>2</v>
      </c>
      <c r="D37" s="276">
        <f>IF(ISBLANK($B37),"",VLOOKUP($B37,Teilnehmer!$B$4:$K$199,3,0))</f>
        <v>9</v>
      </c>
      <c r="E37" s="93" t="str">
        <f>IF(ISBLANK($B37),"",VLOOKUP($B37,Teilnehmer!$B$4:$K$199,4,0))</f>
        <v>Jäger Dirk</v>
      </c>
      <c r="F37" s="285" t="str">
        <f>IF(ISBLANK($B37),"",VLOOKUP($B37,Teilnehmer!$B$4:$K$199,5,0))</f>
        <v>-</v>
      </c>
      <c r="G37" s="288" t="str">
        <f>IF(ISBLANK($B37),"",VLOOKUP($B37,Teilnehmer!$B$4:$K$199,6,0))</f>
        <v>MSC Kitzbühel</v>
      </c>
      <c r="H37" s="93" t="str">
        <f>IF(ISBLANK($B37),"",VLOOKUP($B37,Teilnehmer!$B$4:$K$199,7,0))</f>
        <v>Hofmann Angela</v>
      </c>
      <c r="I37" s="285" t="str">
        <f>IF(ISBLANK($B37),"",VLOOKUP($B37,Teilnehmer!$B$4:$K$199,8,0))</f>
        <v>-</v>
      </c>
      <c r="J37" s="289" t="str">
        <f>IF(ISBLANK($B37),"",VLOOKUP($B37,Teilnehmer!$B$4:$K$199,9,0))</f>
        <v>-</v>
      </c>
      <c r="K37" s="180" t="str">
        <f>IF(ISBLANK($B37),"",VLOOKUP($B37,Teilnehmer!$B$4:$K$199,10,0))</f>
        <v>BMW 318is</v>
      </c>
      <c r="L37" s="212"/>
      <c r="M37" s="226">
        <f t="shared" si="1"/>
        <v>31</v>
      </c>
      <c r="N37" s="115" t="str">
        <f>IF(ISBLANK($B37),"",VLOOKUP($B37,'Eingabe Zeiten'!CK:DJ,2,0))</f>
        <v>11:28:46,72</v>
      </c>
      <c r="O37" s="116" t="str">
        <f>IF(ISBLANK($B37),"",VLOOKUP($B37,'Eingabe Zeiten'!CK:DJ,3,0))</f>
        <v>11:34:38,7</v>
      </c>
      <c r="P37" s="279">
        <f t="shared" si="2"/>
        <v>4.0738425925925248E-3</v>
      </c>
      <c r="Q37" s="132" t="str">
        <f>IF(ISBLANK($B37),"",VLOOKUP($B37,'Eingabe Zeiten'!CK:DJ,4,0))</f>
        <v>0:0:0,0</v>
      </c>
      <c r="R37" s="117" t="str">
        <f t="shared" si="3"/>
        <v/>
      </c>
      <c r="S37" s="115" t="str">
        <f>IF(ISBLANK($B37),"",VLOOKUP($B37,'Eingabe Zeiten'!CK:DJ,6,0))</f>
        <v>12:26:28,75</v>
      </c>
      <c r="T37" s="116" t="str">
        <f>IF(ISBLANK($B37),"",VLOOKUP($B37,'Eingabe Zeiten'!CK:DJ,7,0))</f>
        <v>12:32:53,85</v>
      </c>
      <c r="U37" s="279">
        <f t="shared" si="4"/>
        <v>4.4571759259259824E-3</v>
      </c>
      <c r="V37" s="132" t="str">
        <f>IF(ISBLANK($B37),"",VLOOKUP($B37,'Eingabe Zeiten'!CK:DJ,8,0))</f>
        <v>0:0:0,0</v>
      </c>
      <c r="W37" s="117" t="str">
        <f t="shared" si="5"/>
        <v/>
      </c>
      <c r="X37" s="115" t="str">
        <f>IF(ISBLANK($B37),"",VLOOKUP($B37,'Eingabe Zeiten'!CK:DJ,10,0))</f>
        <v>13:42:34,93</v>
      </c>
      <c r="Y37" s="116" t="str">
        <f>IF(ISBLANK($B37),"",VLOOKUP($B37,'Eingabe Zeiten'!CK:DJ,11,0))</f>
        <v>13:48:9,69</v>
      </c>
      <c r="Z37" s="279">
        <f t="shared" si="6"/>
        <v>3.8745370370371068E-3</v>
      </c>
      <c r="AA37" s="132" t="str">
        <f>IF(ISBLANK($B37),"",VLOOKUP($B37,'Eingabe Zeiten'!CK:DJ,12,0))</f>
        <v>0:0:0,0</v>
      </c>
      <c r="AB37" s="117" t="str">
        <f t="shared" si="7"/>
        <v/>
      </c>
      <c r="AC37" s="115" t="str">
        <f>IF(ISBLANK($B37),"",VLOOKUP($B37,'Eingabe Zeiten'!CK:DJ,14,0))</f>
        <v>14:56:19,48</v>
      </c>
      <c r="AD37" s="116" t="str">
        <f>IF(ISBLANK($B37),"",VLOOKUP($B37,'Eingabe Zeiten'!CK:DJ,15,0))</f>
        <v>15:2:37,96</v>
      </c>
      <c r="AE37" s="279">
        <f t="shared" si="8"/>
        <v>4.3805555555554987E-3</v>
      </c>
      <c r="AF37" s="132" t="str">
        <f>IF(ISBLANK($B37),"",VLOOKUP($B37,'Eingabe Zeiten'!CK:DJ,16,0))</f>
        <v>0:0:0,0</v>
      </c>
      <c r="AG37" s="117" t="str">
        <f t="shared" si="9"/>
        <v/>
      </c>
      <c r="AH37" s="115" t="str">
        <f>IF(ISBLANK($B37),"",VLOOKUP($B37,'Eingabe Zeiten'!CK:DJ,18,0))</f>
        <v>15:28:33,31</v>
      </c>
      <c r="AI37" s="116" t="str">
        <f>IF(ISBLANK($B37),"",VLOOKUP($B37,'Eingabe Zeiten'!CK:DJ,19,0))</f>
        <v>15:34:2,14</v>
      </c>
      <c r="AJ37" s="279">
        <f t="shared" si="10"/>
        <v>3.8059027777778143E-3</v>
      </c>
      <c r="AK37" s="132" t="str">
        <f>IF(ISBLANK($B37),"",VLOOKUP($B37,'Eingabe Zeiten'!CK:DJ,20,0))</f>
        <v>0:0:0,0</v>
      </c>
      <c r="AL37" s="117" t="str">
        <f t="shared" si="11"/>
        <v/>
      </c>
      <c r="AM37" s="115" t="str">
        <f>IF(ISBLANK($B37),"",VLOOKUP($B37,'Eingabe Zeiten'!CK:DJ,22,0))</f>
        <v>0:0:0,0</v>
      </c>
      <c r="AN37" s="116" t="str">
        <f>IF(ISBLANK($B37),"",VLOOKUP($B37,'Eingabe Zeiten'!CK:DJ,23,0))</f>
        <v>0:0:0,0</v>
      </c>
      <c r="AO37" s="279">
        <f t="shared" si="16"/>
        <v>0</v>
      </c>
      <c r="AP37" s="132" t="str">
        <f>IF(ISBLANK($B37),"",VLOOKUP($B37,'Eingabe Zeiten'!CK:DJ,24,0))</f>
        <v>0:0:0,0</v>
      </c>
      <c r="AQ37" s="117" t="str">
        <f t="shared" si="13"/>
        <v/>
      </c>
      <c r="AR37" s="136" t="str">
        <f>IF(ISBLANK($B37),"",VLOOKUP($B37,'Eingabe Zeiten'!CK:DJ,26,0))</f>
        <v>0:0:0,0</v>
      </c>
      <c r="AS37" s="213"/>
      <c r="AT37" s="279">
        <f t="shared" si="14"/>
        <v>2.0592013888888927E-2</v>
      </c>
      <c r="AU37" s="139">
        <f t="shared" si="0"/>
        <v>0</v>
      </c>
      <c r="AV37" s="224">
        <f t="shared" si="17"/>
        <v>2.0592013888888927E-2</v>
      </c>
    </row>
    <row r="38" spans="2:48" s="214" customFormat="1" ht="27.75" customHeight="1">
      <c r="B38" s="118">
        <v>32</v>
      </c>
      <c r="C38" s="275">
        <f>IF(ISBLANK($B38),"",VLOOKUP($B38,Teilnehmer!$B$4:$K$199,2,0))</f>
        <v>2</v>
      </c>
      <c r="D38" s="276">
        <f>IF(ISBLANK($B38),"",VLOOKUP($B38,Teilnehmer!$B$4:$K$199,3,0))</f>
        <v>9</v>
      </c>
      <c r="E38" s="93" t="str">
        <f>IF(ISBLANK($B38),"",VLOOKUP($B38,Teilnehmer!$B$4:$K$199,4,0))</f>
        <v>Litzius Kurt</v>
      </c>
      <c r="F38" s="285">
        <f>IF(ISBLANK($B38),"",VLOOKUP($B38,Teilnehmer!$B$4:$K$199,5,0))</f>
        <v>8177</v>
      </c>
      <c r="G38" s="288" t="str">
        <f>IF(ISBLANK($B38),"",VLOOKUP($B38,Teilnehmer!$B$4:$K$199,6,0))</f>
        <v>-</v>
      </c>
      <c r="H38" s="93" t="str">
        <f>IF(ISBLANK($B38),"",VLOOKUP($B38,Teilnehmer!$B$4:$K$199,7,0))</f>
        <v>Litzius Mandy</v>
      </c>
      <c r="I38" s="285">
        <f>IF(ISBLANK($B38),"",VLOOKUP($B38,Teilnehmer!$B$4:$K$199,8,0))</f>
        <v>14447</v>
      </c>
      <c r="J38" s="289" t="str">
        <f>IF(ISBLANK($B38),"",VLOOKUP($B38,Teilnehmer!$B$4:$K$199,9,0))</f>
        <v>MSC Mamming / AMC Arzbach</v>
      </c>
      <c r="K38" s="180" t="str">
        <f>IF(ISBLANK($B38),"",VLOOKUP($B38,Teilnehmer!$B$4:$K$199,10,0))</f>
        <v>Opel Kadett C Coupé</v>
      </c>
      <c r="L38" s="212"/>
      <c r="M38" s="226">
        <f t="shared" si="1"/>
        <v>32</v>
      </c>
      <c r="N38" s="115" t="str">
        <f>IF(ISBLANK($B38),"",VLOOKUP($B38,'Eingabe Zeiten'!CK:DJ,2,0))</f>
        <v>11:29:38,85</v>
      </c>
      <c r="O38" s="116" t="str">
        <f>IF(ISBLANK($B38),"",VLOOKUP($B38,'Eingabe Zeiten'!CK:DJ,3,0))</f>
        <v>11:35:35,92</v>
      </c>
      <c r="P38" s="279">
        <f t="shared" si="2"/>
        <v>4.132754629629587E-3</v>
      </c>
      <c r="Q38" s="132" t="str">
        <f>IF(ISBLANK($B38),"",VLOOKUP($B38,'Eingabe Zeiten'!CK:DJ,4,0))</f>
        <v>0:0:0,0</v>
      </c>
      <c r="R38" s="117" t="str">
        <f t="shared" si="3"/>
        <v/>
      </c>
      <c r="S38" s="115" t="str">
        <f>IF(ISBLANK($B38),"",VLOOKUP($B38,'Eingabe Zeiten'!CK:DJ,6,0))</f>
        <v>12:26:45,21</v>
      </c>
      <c r="T38" s="116" t="str">
        <f>IF(ISBLANK($B38),"",VLOOKUP($B38,'Eingabe Zeiten'!CK:DJ,7,0))</f>
        <v>12:33:37,94</v>
      </c>
      <c r="U38" s="279">
        <f t="shared" si="4"/>
        <v>4.776967592592718E-3</v>
      </c>
      <c r="V38" s="132" t="str">
        <f>IF(ISBLANK($B38),"",VLOOKUP($B38,'Eingabe Zeiten'!CK:DJ,8,0))</f>
        <v>0:0:0,0</v>
      </c>
      <c r="W38" s="117" t="str">
        <f t="shared" si="5"/>
        <v/>
      </c>
      <c r="X38" s="115" t="str">
        <f>IF(ISBLANK($B38),"",VLOOKUP($B38,'Eingabe Zeiten'!CK:DJ,10,0))</f>
        <v>13:43:5,57</v>
      </c>
      <c r="Y38" s="116" t="str">
        <f>IF(ISBLANK($B38),"",VLOOKUP($B38,'Eingabe Zeiten'!CK:DJ,11,0))</f>
        <v>13:48:50,24</v>
      </c>
      <c r="Z38" s="279">
        <f t="shared" si="6"/>
        <v>3.9892361111111274E-3</v>
      </c>
      <c r="AA38" s="132" t="str">
        <f>IF(ISBLANK($B38),"",VLOOKUP($B38,'Eingabe Zeiten'!CK:DJ,12,0))</f>
        <v>0:0:0,0</v>
      </c>
      <c r="AB38" s="117" t="str">
        <f t="shared" si="7"/>
        <v/>
      </c>
      <c r="AC38" s="115" t="str">
        <f>IF(ISBLANK($B38),"",VLOOKUP($B38,'Eingabe Zeiten'!CK:DJ,14,0))</f>
        <v>14:56:40,35</v>
      </c>
      <c r="AD38" s="116" t="str">
        <f>IF(ISBLANK($B38),"",VLOOKUP($B38,'Eingabe Zeiten'!CK:DJ,15,0))</f>
        <v>15:3:18,11</v>
      </c>
      <c r="AE38" s="279">
        <f t="shared" si="8"/>
        <v>4.6037037037037765E-3</v>
      </c>
      <c r="AF38" s="132" t="str">
        <f>IF(ISBLANK($B38),"",VLOOKUP($B38,'Eingabe Zeiten'!CK:DJ,16,0))</f>
        <v>0:0:0,0</v>
      </c>
      <c r="AG38" s="117" t="str">
        <f t="shared" si="9"/>
        <v/>
      </c>
      <c r="AH38" s="115" t="str">
        <f>IF(ISBLANK($B38),"",VLOOKUP($B38,'Eingabe Zeiten'!CK:DJ,18,0))</f>
        <v>15:29:22,36</v>
      </c>
      <c r="AI38" s="116" t="str">
        <f>IF(ISBLANK($B38),"",VLOOKUP($B38,'Eingabe Zeiten'!CK:DJ,19,0))</f>
        <v>15:34:56,72</v>
      </c>
      <c r="AJ38" s="279">
        <f t="shared" si="10"/>
        <v>3.8699074074074469E-3</v>
      </c>
      <c r="AK38" s="132" t="str">
        <f>IF(ISBLANK($B38),"",VLOOKUP($B38,'Eingabe Zeiten'!CK:DJ,20,0))</f>
        <v>0:0:0,0</v>
      </c>
      <c r="AL38" s="117" t="str">
        <f t="shared" si="11"/>
        <v/>
      </c>
      <c r="AM38" s="115" t="str">
        <f>IF(ISBLANK($B38),"",VLOOKUP($B38,'Eingabe Zeiten'!CK:DJ,22,0))</f>
        <v>0:0:0,0</v>
      </c>
      <c r="AN38" s="116" t="str">
        <f>IF(ISBLANK($B38),"",VLOOKUP($B38,'Eingabe Zeiten'!CK:DJ,23,0))</f>
        <v>0:0:0,0</v>
      </c>
      <c r="AO38" s="279">
        <f t="shared" si="16"/>
        <v>0</v>
      </c>
      <c r="AP38" s="132" t="str">
        <f>IF(ISBLANK($B38),"",VLOOKUP($B38,'Eingabe Zeiten'!CK:DJ,24,0))</f>
        <v>0:0:0,0</v>
      </c>
      <c r="AQ38" s="117" t="str">
        <f t="shared" si="13"/>
        <v/>
      </c>
      <c r="AR38" s="136" t="str">
        <f>IF(ISBLANK($B38),"",VLOOKUP($B38,'Eingabe Zeiten'!CK:DJ,26,0))</f>
        <v>0:0:0,0</v>
      </c>
      <c r="AS38" s="213"/>
      <c r="AT38" s="279">
        <f t="shared" si="14"/>
        <v>2.1372569444444656E-2</v>
      </c>
      <c r="AU38" s="139">
        <f t="shared" si="0"/>
        <v>0</v>
      </c>
      <c r="AV38" s="224">
        <f t="shared" si="17"/>
        <v>2.1372569444444656E-2</v>
      </c>
    </row>
    <row r="39" spans="2:48" s="214" customFormat="1" ht="27.75" customHeight="1">
      <c r="B39" s="118">
        <v>33</v>
      </c>
      <c r="C39" s="275">
        <f>IF(ISBLANK($B39),"",VLOOKUP($B39,Teilnehmer!$B$4:$K$199,2,0))</f>
        <v>2</v>
      </c>
      <c r="D39" s="276">
        <f>IF(ISBLANK($B39),"",VLOOKUP($B39,Teilnehmer!$B$4:$K$199,3,0))</f>
        <v>9</v>
      </c>
      <c r="E39" s="93" t="str">
        <f>IF(ISBLANK($B39),"",VLOOKUP($B39,Teilnehmer!$B$4:$K$199,4,0))</f>
        <v>Kohler Sven</v>
      </c>
      <c r="F39" s="285" t="str">
        <f>IF(ISBLANK($B39),"",VLOOKUP($B39,Teilnehmer!$B$4:$K$199,5,0))</f>
        <v>-</v>
      </c>
      <c r="G39" s="288" t="str">
        <f>IF(ISBLANK($B39),"",VLOOKUP($B39,Teilnehmer!$B$4:$K$199,6,0))</f>
        <v>RC Pommes</v>
      </c>
      <c r="H39" s="93" t="str">
        <f>IF(ISBLANK($B39),"",VLOOKUP($B39,Teilnehmer!$B$4:$K$199,7,0))</f>
        <v>Hinrichs Anna</v>
      </c>
      <c r="I39" s="285">
        <f>IF(ISBLANK($B39),"",VLOOKUP($B39,Teilnehmer!$B$4:$K$199,8,0))</f>
        <v>15287</v>
      </c>
      <c r="J39" s="289" t="str">
        <f>IF(ISBLANK($B39),"",VLOOKUP($B39,Teilnehmer!$B$4:$K$199,9,0))</f>
        <v>RG Ga(a)s</v>
      </c>
      <c r="K39" s="180" t="str">
        <f>IF(ISBLANK($B39),"",VLOOKUP($B39,Teilnehmer!$B$4:$K$199,10,0))</f>
        <v>BMW E30 320is</v>
      </c>
      <c r="L39" s="212"/>
      <c r="M39" s="226">
        <f t="shared" si="1"/>
        <v>33</v>
      </c>
      <c r="N39" s="115" t="str">
        <f>IF(ISBLANK($B39),"",VLOOKUP($B39,'Eingabe Zeiten'!CK:DJ,2,0))</f>
        <v>11:31:27,99</v>
      </c>
      <c r="O39" s="116" t="str">
        <f>IF(ISBLANK($B39),"",VLOOKUP($B39,'Eingabe Zeiten'!CK:DJ,3,0))</f>
        <v>11:36:44,42</v>
      </c>
      <c r="P39" s="279">
        <f t="shared" si="2"/>
        <v>3.6623842592592437E-3</v>
      </c>
      <c r="Q39" s="132" t="str">
        <f>IF(ISBLANK($B39),"",VLOOKUP($B39,'Eingabe Zeiten'!CK:DJ,4,0))</f>
        <v>0:0:0,0</v>
      </c>
      <c r="R39" s="117" t="str">
        <f t="shared" si="3"/>
        <v/>
      </c>
      <c r="S39" s="115" t="str">
        <f>IF(ISBLANK($B39),"",VLOOKUP($B39,'Eingabe Zeiten'!CK:DJ,6,0))</f>
        <v>12:27:11,96</v>
      </c>
      <c r="T39" s="116" t="str">
        <f>IF(ISBLANK($B39),"",VLOOKUP($B39,'Eingabe Zeiten'!CK:DJ,7,0))</f>
        <v>12:33:16,51</v>
      </c>
      <c r="U39" s="279">
        <f t="shared" si="4"/>
        <v>4.2193287037037841E-3</v>
      </c>
      <c r="V39" s="132" t="str">
        <f>IF(ISBLANK($B39),"",VLOOKUP($B39,'Eingabe Zeiten'!CK:DJ,8,0))</f>
        <v>0:0:0,0</v>
      </c>
      <c r="W39" s="117" t="str">
        <f t="shared" si="5"/>
        <v/>
      </c>
      <c r="X39" s="115" t="str">
        <f>IF(ISBLANK($B39),"",VLOOKUP($B39,'Eingabe Zeiten'!CK:DJ,10,0))</f>
        <v>13:45:9,69</v>
      </c>
      <c r="Y39" s="116" t="str">
        <f>IF(ISBLANK($B39),"",VLOOKUP($B39,'Eingabe Zeiten'!CK:DJ,11,0))</f>
        <v>13:50:22,90</v>
      </c>
      <c r="Z39" s="279">
        <f t="shared" si="6"/>
        <v>3.6251157407406476E-3</v>
      </c>
      <c r="AA39" s="132" t="str">
        <f>IF(ISBLANK($B39),"",VLOOKUP($B39,'Eingabe Zeiten'!CK:DJ,12,0))</f>
        <v>0:0:0,0</v>
      </c>
      <c r="AB39" s="117" t="str">
        <f t="shared" si="7"/>
        <v/>
      </c>
      <c r="AC39" s="115" t="str">
        <f>IF(ISBLANK($B39),"",VLOOKUP($B39,'Eingabe Zeiten'!CK:DJ,14,0))</f>
        <v>15:0:53,65</v>
      </c>
      <c r="AD39" s="116" t="str">
        <f>IF(ISBLANK($B39),"",VLOOKUP($B39,'Eingabe Zeiten'!CK:DJ,15,0))</f>
        <v>15:6:49,4</v>
      </c>
      <c r="AE39" s="279">
        <f t="shared" si="8"/>
        <v>4.1174768518519311E-3</v>
      </c>
      <c r="AF39" s="132" t="str">
        <f>IF(ISBLANK($B39),"",VLOOKUP($B39,'Eingabe Zeiten'!CK:DJ,16,0))</f>
        <v>0:0:0,0</v>
      </c>
      <c r="AG39" s="117" t="str">
        <f t="shared" si="9"/>
        <v/>
      </c>
      <c r="AH39" s="115" t="str">
        <f>IF(ISBLANK($B39),"",VLOOKUP($B39,'Eingabe Zeiten'!CK:DJ,18,0))</f>
        <v>15:32:28,78</v>
      </c>
      <c r="AI39" s="116" t="str">
        <f>IF(ISBLANK($B39),"",VLOOKUP($B39,'Eingabe Zeiten'!CK:DJ,19,0))</f>
        <v>15:37:38,39</v>
      </c>
      <c r="AJ39" s="279">
        <f t="shared" si="10"/>
        <v>3.583449074074152E-3</v>
      </c>
      <c r="AK39" s="132" t="str">
        <f>IF(ISBLANK($B39),"",VLOOKUP($B39,'Eingabe Zeiten'!CK:DJ,20,0))</f>
        <v>0:0:30,0</v>
      </c>
      <c r="AL39" s="117" t="str">
        <f t="shared" si="11"/>
        <v/>
      </c>
      <c r="AM39" s="115" t="str">
        <f>IF(ISBLANK($B39),"",VLOOKUP($B39,'Eingabe Zeiten'!CK:DJ,22,0))</f>
        <v>0:0:0,0</v>
      </c>
      <c r="AN39" s="116" t="str">
        <f>IF(ISBLANK($B39),"",VLOOKUP($B39,'Eingabe Zeiten'!CK:DJ,23,0))</f>
        <v>0:0:0,0</v>
      </c>
      <c r="AO39" s="279">
        <f t="shared" si="16"/>
        <v>0</v>
      </c>
      <c r="AP39" s="132" t="str">
        <f>IF(ISBLANK($B39),"",VLOOKUP($B39,'Eingabe Zeiten'!CK:DJ,24,0))</f>
        <v>0:0:0,0</v>
      </c>
      <c r="AQ39" s="117" t="str">
        <f t="shared" si="13"/>
        <v/>
      </c>
      <c r="AR39" s="136" t="str">
        <f>IF(ISBLANK($B39),"",VLOOKUP($B39,'Eingabe Zeiten'!CK:DJ,26,0))</f>
        <v>0:0:0,0</v>
      </c>
      <c r="AS39" s="213"/>
      <c r="AT39" s="279">
        <f t="shared" ref="AT39:AT66" si="18">IF(ISBLANK($B39),"",P39+U39+Z39+AE39+AJ39+AO39)</f>
        <v>1.9207754629629759E-2</v>
      </c>
      <c r="AU39" s="139">
        <f t="shared" ref="AU39:AU66" si="19">IF(ISBLANK($B39),"",Q39+V39+AA39+AF39+AR39+AK39+AP39)</f>
        <v>3.4722222222222224E-4</v>
      </c>
      <c r="AV39" s="224">
        <f t="shared" si="17"/>
        <v>1.955497685185198E-2</v>
      </c>
    </row>
    <row r="40" spans="2:48" s="214" customFormat="1" ht="27.75" customHeight="1">
      <c r="B40" s="118">
        <v>34</v>
      </c>
      <c r="C40" s="275">
        <f>IF(ISBLANK($B40),"",VLOOKUP($B40,Teilnehmer!$B$4:$K$199,2,0))</f>
        <v>2</v>
      </c>
      <c r="D40" s="276">
        <f>IF(ISBLANK($B40),"",VLOOKUP($B40,Teilnehmer!$B$4:$K$199,3,0))</f>
        <v>9</v>
      </c>
      <c r="E40" s="93" t="str">
        <f>IF(ISBLANK($B40),"",VLOOKUP($B40,Teilnehmer!$B$4:$K$199,4,0))</f>
        <v>Kohler Erhard</v>
      </c>
      <c r="F40" s="285" t="str">
        <f>IF(ISBLANK($B40),"",VLOOKUP($B40,Teilnehmer!$B$4:$K$199,5,0))</f>
        <v>-</v>
      </c>
      <c r="G40" s="288" t="str">
        <f>IF(ISBLANK($B40),"",VLOOKUP($B40,Teilnehmer!$B$4:$K$199,6,0))</f>
        <v>RC Pommes</v>
      </c>
      <c r="H40" s="93" t="str">
        <f>IF(ISBLANK($B40),"",VLOOKUP($B40,Teilnehmer!$B$4:$K$199,7,0))</f>
        <v>Kohler Maren</v>
      </c>
      <c r="I40" s="285" t="str">
        <f>IF(ISBLANK($B40),"",VLOOKUP($B40,Teilnehmer!$B$4:$K$199,8,0))</f>
        <v>-</v>
      </c>
      <c r="J40" s="289" t="str">
        <f>IF(ISBLANK($B40),"",VLOOKUP($B40,Teilnehmer!$B$4:$K$199,9,0))</f>
        <v>RC Pommes</v>
      </c>
      <c r="K40" s="180" t="str">
        <f>IF(ISBLANK($B40),"",VLOOKUP($B40,Teilnehmer!$B$4:$K$199,10,0))</f>
        <v>BMW E30 318is</v>
      </c>
      <c r="L40" s="212"/>
      <c r="M40" s="226">
        <f t="shared" si="1"/>
        <v>34</v>
      </c>
      <c r="N40" s="115" t="str">
        <f>IF(ISBLANK($B40),"",VLOOKUP($B40,'Eingabe Zeiten'!CK:DJ,2,0))</f>
        <v>11:32:30,48</v>
      </c>
      <c r="O40" s="116" t="str">
        <f>IF(ISBLANK($B40),"",VLOOKUP($B40,'Eingabe Zeiten'!CK:DJ,3,0))</f>
        <v>11:37:46,51</v>
      </c>
      <c r="P40" s="279">
        <f t="shared" si="2"/>
        <v>3.6577546296295838E-3</v>
      </c>
      <c r="Q40" s="132" t="str">
        <f>IF(ISBLANK($B40),"",VLOOKUP($B40,'Eingabe Zeiten'!CK:DJ,4,0))</f>
        <v>0:0:0,0</v>
      </c>
      <c r="R40" s="117" t="str">
        <f t="shared" si="3"/>
        <v/>
      </c>
      <c r="S40" s="115" t="str">
        <f>IF(ISBLANK($B40),"",VLOOKUP($B40,'Eingabe Zeiten'!CK:DJ,6,0))</f>
        <v>12:27:32,58</v>
      </c>
      <c r="T40" s="116" t="str">
        <f>IF(ISBLANK($B40),"",VLOOKUP($B40,'Eingabe Zeiten'!CK:DJ,7,0))</f>
        <v>12:33:43,87</v>
      </c>
      <c r="U40" s="279">
        <f t="shared" si="4"/>
        <v>4.2973379629629438E-3</v>
      </c>
      <c r="V40" s="132" t="str">
        <f>IF(ISBLANK($B40),"",VLOOKUP($B40,'Eingabe Zeiten'!CK:DJ,8,0))</f>
        <v>0:0:0,0</v>
      </c>
      <c r="W40" s="117" t="str">
        <f t="shared" si="5"/>
        <v/>
      </c>
      <c r="X40" s="115" t="str">
        <f>IF(ISBLANK($B40),"",VLOOKUP($B40,'Eingabe Zeiten'!CK:DJ,10,0))</f>
        <v>13:45:43,57</v>
      </c>
      <c r="Y40" s="116" t="str">
        <f>IF(ISBLANK($B40),"",VLOOKUP($B40,'Eingabe Zeiten'!CK:DJ,11,0))</f>
        <v>13:50:55,76</v>
      </c>
      <c r="Z40" s="279">
        <f t="shared" si="6"/>
        <v>3.6133101851852922E-3</v>
      </c>
      <c r="AA40" s="132" t="str">
        <f>IF(ISBLANK($B40),"",VLOOKUP($B40,'Eingabe Zeiten'!CK:DJ,12,0))</f>
        <v>0:0:0,0</v>
      </c>
      <c r="AB40" s="117" t="str">
        <f t="shared" si="7"/>
        <v/>
      </c>
      <c r="AC40" s="115" t="str">
        <f>IF(ISBLANK($B40),"",VLOOKUP($B40,'Eingabe Zeiten'!CK:DJ,14,0))</f>
        <v>15:1:12,43</v>
      </c>
      <c r="AD40" s="116" t="str">
        <f>IF(ISBLANK($B40),"",VLOOKUP($B40,'Eingabe Zeiten'!CK:DJ,15,0))</f>
        <v>15:7:16,5</v>
      </c>
      <c r="AE40" s="279">
        <f t="shared" si="8"/>
        <v>4.2137731481480811E-3</v>
      </c>
      <c r="AF40" s="132" t="str">
        <f>IF(ISBLANK($B40),"",VLOOKUP($B40,'Eingabe Zeiten'!CK:DJ,16,0))</f>
        <v>0:0:0,0</v>
      </c>
      <c r="AG40" s="117" t="str">
        <f t="shared" si="9"/>
        <v/>
      </c>
      <c r="AH40" s="115" t="str">
        <f>IF(ISBLANK($B40),"",VLOOKUP($B40,'Eingabe Zeiten'!CK:DJ,18,0))</f>
        <v>15:33:19,66</v>
      </c>
      <c r="AI40" s="116" t="str">
        <f>IF(ISBLANK($B40),"",VLOOKUP($B40,'Eingabe Zeiten'!CK:DJ,19,0))</f>
        <v>15:38:34,1</v>
      </c>
      <c r="AJ40" s="279">
        <f t="shared" si="10"/>
        <v>3.6393518518518242E-3</v>
      </c>
      <c r="AK40" s="132" t="str">
        <f>IF(ISBLANK($B40),"",VLOOKUP($B40,'Eingabe Zeiten'!CK:DJ,20,0))</f>
        <v>0:1:0,0</v>
      </c>
      <c r="AL40" s="117" t="str">
        <f t="shared" si="11"/>
        <v/>
      </c>
      <c r="AM40" s="115" t="str">
        <f>IF(ISBLANK($B40),"",VLOOKUP($B40,'Eingabe Zeiten'!CK:DJ,22,0))</f>
        <v>0:0:0,0</v>
      </c>
      <c r="AN40" s="116" t="str">
        <f>IF(ISBLANK($B40),"",VLOOKUP($B40,'Eingabe Zeiten'!CK:DJ,23,0))</f>
        <v>0:0:0,0</v>
      </c>
      <c r="AO40" s="279">
        <f t="shared" si="16"/>
        <v>0</v>
      </c>
      <c r="AP40" s="132" t="str">
        <f>IF(ISBLANK($B40),"",VLOOKUP($B40,'Eingabe Zeiten'!CK:DJ,24,0))</f>
        <v>0:0:0,0</v>
      </c>
      <c r="AQ40" s="117" t="str">
        <f t="shared" si="13"/>
        <v/>
      </c>
      <c r="AR40" s="136" t="str">
        <f>IF(ISBLANK($B40),"",VLOOKUP($B40,'Eingabe Zeiten'!CK:DJ,26,0))</f>
        <v>0:0:0,0</v>
      </c>
      <c r="AS40" s="213"/>
      <c r="AT40" s="279">
        <f t="shared" si="18"/>
        <v>1.9421527777777725E-2</v>
      </c>
      <c r="AU40" s="139">
        <f t="shared" si="19"/>
        <v>6.9444444444444447E-4</v>
      </c>
      <c r="AV40" s="224">
        <f t="shared" si="17"/>
        <v>2.0115972222222171E-2</v>
      </c>
    </row>
    <row r="41" spans="2:48" s="214" customFormat="1" ht="27.75" customHeight="1">
      <c r="B41" s="118">
        <v>35</v>
      </c>
      <c r="C41" s="275">
        <f>IF(ISBLANK($B41),"",VLOOKUP($B41,Teilnehmer!$B$4:$K$199,2,0))</f>
        <v>2</v>
      </c>
      <c r="D41" s="276">
        <f>IF(ISBLANK($B41),"",VLOOKUP($B41,Teilnehmer!$B$4:$K$199,3,0))</f>
        <v>9</v>
      </c>
      <c r="E41" s="93" t="str">
        <f>IF(ISBLANK($B41),"",VLOOKUP($B41,Teilnehmer!$B$4:$K$199,4,0))</f>
        <v>Kübler Oliver</v>
      </c>
      <c r="F41" s="285" t="str">
        <f>IF(ISBLANK($B41),"",VLOOKUP($B41,Teilnehmer!$B$4:$K$199,5,0))</f>
        <v>-</v>
      </c>
      <c r="G41" s="288" t="str">
        <f>IF(ISBLANK($B41),"",VLOOKUP($B41,Teilnehmer!$B$4:$K$199,6,0))</f>
        <v>HWRT Wohlmuthausen</v>
      </c>
      <c r="H41" s="93" t="str">
        <f>IF(ISBLANK($B41),"",VLOOKUP($B41,Teilnehmer!$B$4:$K$199,7,0))</f>
        <v>Hochhäuser Michael</v>
      </c>
      <c r="I41" s="285" t="str">
        <f>IF(ISBLANK($B41),"",VLOOKUP($B41,Teilnehmer!$B$4:$K$199,8,0))</f>
        <v>-</v>
      </c>
      <c r="J41" s="289" t="str">
        <f>IF(ISBLANK($B41),"",VLOOKUP($B41,Teilnehmer!$B$4:$K$199,9,0))</f>
        <v>HWRT Wohlmuthausen</v>
      </c>
      <c r="K41" s="180" t="str">
        <f>IF(ISBLANK($B41),"",VLOOKUP($B41,Teilnehmer!$B$4:$K$199,10,0))</f>
        <v>BMW E30 318is</v>
      </c>
      <c r="L41" s="212"/>
      <c r="M41" s="226">
        <f t="shared" si="1"/>
        <v>35</v>
      </c>
      <c r="N41" s="115" t="str">
        <f>IF(ISBLANK($B41),"",VLOOKUP($B41,'Eingabe Zeiten'!CK:DJ,2,0))</f>
        <v>11:32:59,65</v>
      </c>
      <c r="O41" s="116" t="str">
        <f>IF(ISBLANK($B41),"",VLOOKUP($B41,'Eingabe Zeiten'!CK:DJ,3,0))</f>
        <v>11:38:20,73</v>
      </c>
      <c r="P41" s="279">
        <f t="shared" si="2"/>
        <v>3.7162037037037354E-3</v>
      </c>
      <c r="Q41" s="132" t="str">
        <f>IF(ISBLANK($B41),"",VLOOKUP($B41,'Eingabe Zeiten'!CK:DJ,4,0))</f>
        <v>0:0:0,0</v>
      </c>
      <c r="R41" s="117" t="str">
        <f t="shared" si="3"/>
        <v/>
      </c>
      <c r="S41" s="115" t="str">
        <f>IF(ISBLANK($B41),"",VLOOKUP($B41,'Eingabe Zeiten'!CK:DJ,6,0))</f>
        <v>12:31:58,31</v>
      </c>
      <c r="T41" s="116" t="str">
        <f>IF(ISBLANK($B41),"",VLOOKUP($B41,'Eingabe Zeiten'!CK:DJ,7,0))</f>
        <v>12:38:9,4</v>
      </c>
      <c r="U41" s="279">
        <f t="shared" si="4"/>
        <v>4.2950231481482248E-3</v>
      </c>
      <c r="V41" s="132" t="str">
        <f>IF(ISBLANK($B41),"",VLOOKUP($B41,'Eingabe Zeiten'!CK:DJ,8,0))</f>
        <v>0:0:0,0</v>
      </c>
      <c r="W41" s="117" t="str">
        <f t="shared" si="5"/>
        <v/>
      </c>
      <c r="X41" s="115" t="str">
        <f>IF(ISBLANK($B41),"",VLOOKUP($B41,'Eingabe Zeiten'!CK:DJ,10,0))</f>
        <v>13:46:7,81</v>
      </c>
      <c r="Y41" s="116" t="str">
        <f>IF(ISBLANK($B41),"",VLOOKUP($B41,'Eingabe Zeiten'!CK:DJ,11,0))</f>
        <v>13:51:20,85</v>
      </c>
      <c r="Z41" s="279">
        <f t="shared" si="6"/>
        <v>3.6231481481481254E-3</v>
      </c>
      <c r="AA41" s="132" t="str">
        <f>IF(ISBLANK($B41),"",VLOOKUP($B41,'Eingabe Zeiten'!CK:DJ,12,0))</f>
        <v>0:0:0,0</v>
      </c>
      <c r="AB41" s="117" t="str">
        <f t="shared" si="7"/>
        <v/>
      </c>
      <c r="AC41" s="115" t="str">
        <f>IF(ISBLANK($B41),"",VLOOKUP($B41,'Eingabe Zeiten'!CK:DJ,14,0))</f>
        <v>15:1:28,3</v>
      </c>
      <c r="AD41" s="116" t="str">
        <f>IF(ISBLANK($B41),"",VLOOKUP($B41,'Eingabe Zeiten'!CK:DJ,15,0))</f>
        <v>15:7:31,86</v>
      </c>
      <c r="AE41" s="279">
        <f t="shared" si="8"/>
        <v>4.2078703703704035E-3</v>
      </c>
      <c r="AF41" s="132" t="str">
        <f>IF(ISBLANK($B41),"",VLOOKUP($B41,'Eingabe Zeiten'!CK:DJ,16,0))</f>
        <v>0:0:0,0</v>
      </c>
      <c r="AG41" s="117" t="str">
        <f t="shared" si="9"/>
        <v/>
      </c>
      <c r="AH41" s="115" t="str">
        <f>IF(ISBLANK($B41),"",VLOOKUP($B41,'Eingabe Zeiten'!CK:DJ,18,0))</f>
        <v>15:34:46,86</v>
      </c>
      <c r="AI41" s="116" t="str">
        <f>IF(ISBLANK($B41),"",VLOOKUP($B41,'Eingabe Zeiten'!CK:DJ,19,0))</f>
        <v>15:40:6,27</v>
      </c>
      <c r="AJ41" s="279">
        <f t="shared" si="10"/>
        <v>3.6968750000000439E-3</v>
      </c>
      <c r="AK41" s="132" t="str">
        <f>IF(ISBLANK($B41),"",VLOOKUP($B41,'Eingabe Zeiten'!CK:DJ,20,0))</f>
        <v>0:0:0,0</v>
      </c>
      <c r="AL41" s="117" t="str">
        <f t="shared" si="11"/>
        <v/>
      </c>
      <c r="AM41" s="115" t="str">
        <f>IF(ISBLANK($B41),"",VLOOKUP($B41,'Eingabe Zeiten'!CK:DJ,22,0))</f>
        <v>0:0:0,0</v>
      </c>
      <c r="AN41" s="116" t="str">
        <f>IF(ISBLANK($B41),"",VLOOKUP($B41,'Eingabe Zeiten'!CK:DJ,23,0))</f>
        <v>0:0:0,0</v>
      </c>
      <c r="AO41" s="279">
        <f t="shared" si="16"/>
        <v>0</v>
      </c>
      <c r="AP41" s="132" t="str">
        <f>IF(ISBLANK($B41),"",VLOOKUP($B41,'Eingabe Zeiten'!CK:DJ,24,0))</f>
        <v>0:0:0,0</v>
      </c>
      <c r="AQ41" s="117" t="str">
        <f t="shared" si="13"/>
        <v/>
      </c>
      <c r="AR41" s="136" t="str">
        <f>IF(ISBLANK($B41),"",VLOOKUP($B41,'Eingabe Zeiten'!CK:DJ,26,0))</f>
        <v>0:0:0,0</v>
      </c>
      <c r="AS41" s="213"/>
      <c r="AT41" s="279">
        <f t="shared" si="18"/>
        <v>1.9539120370370533E-2</v>
      </c>
      <c r="AU41" s="139">
        <f t="shared" si="19"/>
        <v>0</v>
      </c>
      <c r="AV41" s="224">
        <f t="shared" si="17"/>
        <v>1.9539120370370533E-2</v>
      </c>
    </row>
    <row r="42" spans="2:48" s="214" customFormat="1" ht="27.75" customHeight="1">
      <c r="B42" s="118">
        <v>36</v>
      </c>
      <c r="C42" s="275">
        <f>IF(ISBLANK($B42),"",VLOOKUP($B42,Teilnehmer!$B$4:$K$199,2,0))</f>
        <v>2</v>
      </c>
      <c r="D42" s="276">
        <f>IF(ISBLANK($B42),"",VLOOKUP($B42,Teilnehmer!$B$4:$K$199,3,0))</f>
        <v>9</v>
      </c>
      <c r="E42" s="93" t="str">
        <f>IF(ISBLANK($B42),"",VLOOKUP($B42,Teilnehmer!$B$4:$K$199,4,0))</f>
        <v>Schwarz Timo</v>
      </c>
      <c r="F42" s="285" t="str">
        <f>IF(ISBLANK($B42),"",VLOOKUP($B42,Teilnehmer!$B$4:$K$199,5,0))</f>
        <v>-</v>
      </c>
      <c r="G42" s="288" t="str">
        <f>IF(ISBLANK($B42),"",VLOOKUP($B42,Teilnehmer!$B$4:$K$199,6,0))</f>
        <v>-</v>
      </c>
      <c r="H42" s="93" t="str">
        <f>IF(ISBLANK($B42),"",VLOOKUP($B42,Teilnehmer!$B$4:$K$199,7,0))</f>
        <v>Himmelstoß Florian</v>
      </c>
      <c r="I42" s="285" t="str">
        <f>IF(ISBLANK($B42),"",VLOOKUP($B42,Teilnehmer!$B$4:$K$199,8,0))</f>
        <v>-</v>
      </c>
      <c r="J42" s="289" t="str">
        <f>IF(ISBLANK($B42),"",VLOOKUP($B42,Teilnehmer!$B$4:$K$199,9,0))</f>
        <v>-</v>
      </c>
      <c r="K42" s="180" t="str">
        <f>IF(ISBLANK($B42),"",VLOOKUP($B42,Teilnehmer!$B$4:$K$199,10,0))</f>
        <v>Opel Manta B</v>
      </c>
      <c r="L42" s="212"/>
      <c r="M42" s="226">
        <f t="shared" si="1"/>
        <v>36</v>
      </c>
      <c r="N42" s="115" t="str">
        <f>IF(ISBLANK($B42),"",VLOOKUP($B42,'Eingabe Zeiten'!CK:DJ,2,0))</f>
        <v>::,</v>
      </c>
      <c r="O42" s="116" t="str">
        <f>IF(ISBLANK($B42),"",VLOOKUP($B42,'Eingabe Zeiten'!CK:DJ,3,0))</f>
        <v>::,</v>
      </c>
      <c r="P42" s="279" t="s">
        <v>287</v>
      </c>
      <c r="Q42" s="132" t="str">
        <f>IF(ISBLANK($B42),"",VLOOKUP($B42,'Eingabe Zeiten'!CK:DJ,4,0))</f>
        <v>0:0:0,0</v>
      </c>
      <c r="R42" s="117" t="str">
        <f t="shared" si="3"/>
        <v/>
      </c>
      <c r="S42" s="115" t="str">
        <f>IF(ISBLANK($B42),"",VLOOKUP($B42,'Eingabe Zeiten'!CK:DJ,6,0))</f>
        <v>::,</v>
      </c>
      <c r="T42" s="116" t="str">
        <f>IF(ISBLANK($B42),"",VLOOKUP($B42,'Eingabe Zeiten'!CK:DJ,7,0))</f>
        <v>::,</v>
      </c>
      <c r="U42" s="279" t="s">
        <v>287</v>
      </c>
      <c r="V42" s="132" t="str">
        <f>IF(ISBLANK($B42),"",VLOOKUP($B42,'Eingabe Zeiten'!CK:DJ,8,0))</f>
        <v>0:0:0,0</v>
      </c>
      <c r="W42" s="117" t="str">
        <f t="shared" si="5"/>
        <v/>
      </c>
      <c r="X42" s="115" t="str">
        <f>IF(ISBLANK($B42),"",VLOOKUP($B42,'Eingabe Zeiten'!CK:DJ,10,0))</f>
        <v>::,</v>
      </c>
      <c r="Y42" s="116" t="str">
        <f>IF(ISBLANK($B42),"",VLOOKUP($B42,'Eingabe Zeiten'!CK:DJ,11,0))</f>
        <v>::,</v>
      </c>
      <c r="Z42" s="279" t="s">
        <v>287</v>
      </c>
      <c r="AA42" s="132" t="str">
        <f>IF(ISBLANK($B42),"",VLOOKUP($B42,'Eingabe Zeiten'!CK:DJ,12,0))</f>
        <v>0:0:0,0</v>
      </c>
      <c r="AB42" s="117" t="str">
        <f t="shared" si="7"/>
        <v/>
      </c>
      <c r="AC42" s="115" t="str">
        <f>IF(ISBLANK($B42),"",VLOOKUP($B42,'Eingabe Zeiten'!CK:DJ,14,0))</f>
        <v>::,</v>
      </c>
      <c r="AD42" s="116" t="str">
        <f>IF(ISBLANK($B42),"",VLOOKUP($B42,'Eingabe Zeiten'!CK:DJ,15,0))</f>
        <v>::,</v>
      </c>
      <c r="AE42" s="279" t="s">
        <v>287</v>
      </c>
      <c r="AF42" s="132" t="str">
        <f>IF(ISBLANK($B42),"",VLOOKUP($B42,'Eingabe Zeiten'!CK:DJ,16,0))</f>
        <v>0:0:0,0</v>
      </c>
      <c r="AG42" s="117" t="str">
        <f t="shared" si="9"/>
        <v/>
      </c>
      <c r="AH42" s="115" t="str">
        <f>IF(ISBLANK($B42),"",VLOOKUP($B42,'Eingabe Zeiten'!CK:DJ,18,0))</f>
        <v>::,</v>
      </c>
      <c r="AI42" s="116" t="str">
        <f>IF(ISBLANK($B42),"",VLOOKUP($B42,'Eingabe Zeiten'!CK:DJ,19,0))</f>
        <v>::,</v>
      </c>
      <c r="AJ42" s="279" t="s">
        <v>287</v>
      </c>
      <c r="AK42" s="132" t="str">
        <f>IF(ISBLANK($B42),"",VLOOKUP($B42,'Eingabe Zeiten'!CK:DJ,20,0))</f>
        <v>0:0:0,0</v>
      </c>
      <c r="AL42" s="117" t="str">
        <f t="shared" si="11"/>
        <v/>
      </c>
      <c r="AM42" s="115" t="str">
        <f>IF(ISBLANK($B42),"",VLOOKUP($B42,'Eingabe Zeiten'!CK:DJ,22,0))</f>
        <v>0:0:0,0</v>
      </c>
      <c r="AN42" s="116" t="str">
        <f>IF(ISBLANK($B42),"",VLOOKUP($B42,'Eingabe Zeiten'!CK:DJ,23,0))</f>
        <v>0:0:0,0</v>
      </c>
      <c r="AO42" s="279">
        <f t="shared" si="16"/>
        <v>0</v>
      </c>
      <c r="AP42" s="132" t="str">
        <f>IF(ISBLANK($B42),"",VLOOKUP($B42,'Eingabe Zeiten'!CK:DJ,24,0))</f>
        <v>0:0:0,0</v>
      </c>
      <c r="AQ42" s="117" t="str">
        <f t="shared" si="13"/>
        <v/>
      </c>
      <c r="AR42" s="136" t="str">
        <f>IF(ISBLANK($B42),"",VLOOKUP($B42,'Eingabe Zeiten'!CK:DJ,26,0))</f>
        <v>0:0:0,0</v>
      </c>
      <c r="AS42" s="213"/>
      <c r="AT42" s="279" t="s">
        <v>287</v>
      </c>
      <c r="AU42" s="139">
        <f t="shared" si="19"/>
        <v>0</v>
      </c>
      <c r="AV42" s="224" t="s">
        <v>287</v>
      </c>
    </row>
    <row r="43" spans="2:48" s="214" customFormat="1" ht="27.75" customHeight="1">
      <c r="B43" s="118">
        <v>37</v>
      </c>
      <c r="C43" s="275">
        <f>IF(ISBLANK($B43),"",VLOOKUP($B43,Teilnehmer!$B$4:$K$199,2,0))</f>
        <v>2</v>
      </c>
      <c r="D43" s="276">
        <f>IF(ISBLANK($B43),"",VLOOKUP($B43,Teilnehmer!$B$4:$K$199,3,0))</f>
        <v>9</v>
      </c>
      <c r="E43" s="93" t="str">
        <f>IF(ISBLANK($B43),"",VLOOKUP($B43,Teilnehmer!$B$4:$K$199,4,0))</f>
        <v>Kohl Bernd</v>
      </c>
      <c r="F43" s="285" t="str">
        <f>IF(ISBLANK($B43),"",VLOOKUP($B43,Teilnehmer!$B$4:$K$199,5,0))</f>
        <v>-</v>
      </c>
      <c r="G43" s="288" t="str">
        <f>IF(ISBLANK($B43),"",VLOOKUP($B43,Teilnehmer!$B$4:$K$199,6,0))</f>
        <v>ASC Wilhelmsfeld</v>
      </c>
      <c r="H43" s="93" t="str">
        <f>IF(ISBLANK($B43),"",VLOOKUP($B43,Teilnehmer!$B$4:$K$199,7,0))</f>
        <v>Oster Roland</v>
      </c>
      <c r="I43" s="285" t="str">
        <f>IF(ISBLANK($B43),"",VLOOKUP($B43,Teilnehmer!$B$4:$K$199,8,0))</f>
        <v>-</v>
      </c>
      <c r="J43" s="289" t="str">
        <f>IF(ISBLANK($B43),"",VLOOKUP($B43,Teilnehmer!$B$4:$K$199,9,0))</f>
        <v>ASC Wilhelmsfeld</v>
      </c>
      <c r="K43" s="180" t="str">
        <f>IF(ISBLANK($B43),"",VLOOKUP($B43,Teilnehmer!$B$4:$K$199,10,0))</f>
        <v>BMW E30 318 IS</v>
      </c>
      <c r="L43" s="212"/>
      <c r="M43" s="226">
        <f t="shared" si="1"/>
        <v>37</v>
      </c>
      <c r="N43" s="115" t="str">
        <f>IF(ISBLANK($B43),"",VLOOKUP($B43,'Eingabe Zeiten'!CK:DJ,2,0))</f>
        <v>11:33:43,22</v>
      </c>
      <c r="O43" s="116" t="str">
        <f>IF(ISBLANK($B43),"",VLOOKUP($B43,'Eingabe Zeiten'!CK:DJ,3,0))</f>
        <v>11:39:35,90</v>
      </c>
      <c r="P43" s="279">
        <f t="shared" si="2"/>
        <v>4.0819444444444297E-3</v>
      </c>
      <c r="Q43" s="132" t="str">
        <f>IF(ISBLANK($B43),"",VLOOKUP($B43,'Eingabe Zeiten'!CK:DJ,4,0))</f>
        <v>0:0:0,0</v>
      </c>
      <c r="R43" s="117" t="str">
        <f t="shared" si="3"/>
        <v/>
      </c>
      <c r="S43" s="115" t="str">
        <f>IF(ISBLANK($B43),"",VLOOKUP($B43,'Eingabe Zeiten'!CK:DJ,6,0))</f>
        <v>12:32:19,75</v>
      </c>
      <c r="T43" s="116" t="str">
        <f>IF(ISBLANK($B43),"",VLOOKUP($B43,'Eingabe Zeiten'!CK:DJ,7,0))</f>
        <v>12:39:3,45</v>
      </c>
      <c r="U43" s="279">
        <f t="shared" si="4"/>
        <v>4.6724537037037273E-3</v>
      </c>
      <c r="V43" s="132" t="str">
        <f>IF(ISBLANK($B43),"",VLOOKUP($B43,'Eingabe Zeiten'!CK:DJ,8,0))</f>
        <v>0:0:0,0</v>
      </c>
      <c r="W43" s="117" t="str">
        <f t="shared" si="5"/>
        <v/>
      </c>
      <c r="X43" s="115" t="str">
        <f>IF(ISBLANK($B43),"",VLOOKUP($B43,'Eingabe Zeiten'!CK:DJ,10,0))</f>
        <v>13:46:36,87</v>
      </c>
      <c r="Y43" s="116" t="str">
        <f>IF(ISBLANK($B43),"",VLOOKUP($B43,'Eingabe Zeiten'!CK:DJ,11,0))</f>
        <v>13:52:26,9</v>
      </c>
      <c r="Z43" s="279">
        <f t="shared" si="6"/>
        <v>4.0512731481481268E-3</v>
      </c>
      <c r="AA43" s="132" t="str">
        <f>IF(ISBLANK($B43),"",VLOOKUP($B43,'Eingabe Zeiten'!CK:DJ,12,0))</f>
        <v>0:0:0,0</v>
      </c>
      <c r="AB43" s="117" t="str">
        <f t="shared" si="7"/>
        <v/>
      </c>
      <c r="AC43" s="115" t="str">
        <f>IF(ISBLANK($B43),"",VLOOKUP($B43,'Eingabe Zeiten'!CK:DJ,14,0))</f>
        <v>15:1:42,76</v>
      </c>
      <c r="AD43" s="116" t="str">
        <f>IF(ISBLANK($B43),"",VLOOKUP($B43,'Eingabe Zeiten'!CK:DJ,15,0))</f>
        <v>15:8:12,97</v>
      </c>
      <c r="AE43" s="279">
        <f t="shared" si="8"/>
        <v>4.5163194444444166E-3</v>
      </c>
      <c r="AF43" s="132" t="str">
        <f>IF(ISBLANK($B43),"",VLOOKUP($B43,'Eingabe Zeiten'!CK:DJ,16,0))</f>
        <v>0:0:0,0</v>
      </c>
      <c r="AG43" s="117" t="str">
        <f t="shared" si="9"/>
        <v/>
      </c>
      <c r="AH43" s="115" t="str">
        <f>IF(ISBLANK($B43),"",VLOOKUP($B43,'Eingabe Zeiten'!CK:DJ,18,0))</f>
        <v>15:35:32,32</v>
      </c>
      <c r="AI43" s="116" t="str">
        <f>IF(ISBLANK($B43),"",VLOOKUP($B43,'Eingabe Zeiten'!CK:DJ,19,0))</f>
        <v>15:41:25,29</v>
      </c>
      <c r="AJ43" s="279">
        <f t="shared" si="10"/>
        <v>4.0853009259258499E-3</v>
      </c>
      <c r="AK43" s="132" t="str">
        <f>IF(ISBLANK($B43),"",VLOOKUP($B43,'Eingabe Zeiten'!CK:DJ,20,0))</f>
        <v>0:0:0,0</v>
      </c>
      <c r="AL43" s="117" t="str">
        <f t="shared" si="11"/>
        <v/>
      </c>
      <c r="AM43" s="115" t="str">
        <f>IF(ISBLANK($B43),"",VLOOKUP($B43,'Eingabe Zeiten'!CK:DJ,22,0))</f>
        <v>0:0:0,0</v>
      </c>
      <c r="AN43" s="116" t="str">
        <f>IF(ISBLANK($B43),"",VLOOKUP($B43,'Eingabe Zeiten'!CK:DJ,23,0))</f>
        <v>0:0:0,0</v>
      </c>
      <c r="AO43" s="279">
        <f t="shared" si="16"/>
        <v>0</v>
      </c>
      <c r="AP43" s="132" t="str">
        <f>IF(ISBLANK($B43),"",VLOOKUP($B43,'Eingabe Zeiten'!CK:DJ,24,0))</f>
        <v>0:0:0,0</v>
      </c>
      <c r="AQ43" s="117" t="str">
        <f t="shared" si="13"/>
        <v/>
      </c>
      <c r="AR43" s="136" t="str">
        <f>IF(ISBLANK($B43),"",VLOOKUP($B43,'Eingabe Zeiten'!CK:DJ,26,0))</f>
        <v>0:0:0,0</v>
      </c>
      <c r="AS43" s="213"/>
      <c r="AT43" s="279">
        <f t="shared" si="18"/>
        <v>2.140729166666655E-2</v>
      </c>
      <c r="AU43" s="139">
        <f t="shared" si="19"/>
        <v>0</v>
      </c>
      <c r="AV43" s="224">
        <f t="shared" si="17"/>
        <v>2.140729166666655E-2</v>
      </c>
    </row>
    <row r="44" spans="2:48" s="214" customFormat="1" ht="27.75" customHeight="1">
      <c r="B44" s="118">
        <v>38</v>
      </c>
      <c r="C44" s="275">
        <f>IF(ISBLANK($B44),"",VLOOKUP($B44,Teilnehmer!$B$4:$K$199,2,0))</f>
        <v>2</v>
      </c>
      <c r="D44" s="276">
        <f>IF(ISBLANK($B44),"",VLOOKUP($B44,Teilnehmer!$B$4:$K$199,3,0))</f>
        <v>9</v>
      </c>
      <c r="E44" s="93" t="str">
        <f>IF(ISBLANK($B44),"",VLOOKUP($B44,Teilnehmer!$B$4:$K$199,4,0))</f>
        <v>Müller Moritz</v>
      </c>
      <c r="F44" s="285" t="str">
        <f>IF(ISBLANK($B44),"",VLOOKUP($B44,Teilnehmer!$B$4:$K$199,5,0))</f>
        <v>-</v>
      </c>
      <c r="G44" s="288" t="str">
        <f>IF(ISBLANK($B44),"",VLOOKUP($B44,Teilnehmer!$B$4:$K$199,6,0))</f>
        <v>-</v>
      </c>
      <c r="H44" s="93" t="str">
        <f>IF(ISBLANK($B44),"",VLOOKUP($B44,Teilnehmer!$B$4:$K$199,7,0))</f>
        <v>Müller Lukas</v>
      </c>
      <c r="I44" s="285" t="str">
        <f>IF(ISBLANK($B44),"",VLOOKUP($B44,Teilnehmer!$B$4:$K$199,8,0))</f>
        <v>-</v>
      </c>
      <c r="J44" s="289" t="str">
        <f>IF(ISBLANK($B44),"",VLOOKUP($B44,Teilnehmer!$B$4:$K$199,9,0))</f>
        <v>-</v>
      </c>
      <c r="K44" s="180" t="str">
        <f>IF(ISBLANK($B44),"",VLOOKUP($B44,Teilnehmer!$B$4:$K$199,10,0))</f>
        <v>Honda FN2</v>
      </c>
      <c r="L44" s="212"/>
      <c r="M44" s="226">
        <f t="shared" si="1"/>
        <v>38</v>
      </c>
      <c r="N44" s="115" t="str">
        <f>IF(ISBLANK($B44),"",VLOOKUP($B44,'Eingabe Zeiten'!CK:DJ,2,0))</f>
        <v>11:34:49,9</v>
      </c>
      <c r="O44" s="116" t="str">
        <f>IF(ISBLANK($B44),"",VLOOKUP($B44,'Eingabe Zeiten'!CK:DJ,3,0))</f>
        <v>11:40:31,95</v>
      </c>
      <c r="P44" s="279">
        <f t="shared" si="2"/>
        <v>3.9589120370369657E-3</v>
      </c>
      <c r="Q44" s="132" t="str">
        <f>IF(ISBLANK($B44),"",VLOOKUP($B44,'Eingabe Zeiten'!CK:DJ,4,0))</f>
        <v>0:0:30,0</v>
      </c>
      <c r="R44" s="117" t="str">
        <f t="shared" si="3"/>
        <v/>
      </c>
      <c r="S44" s="115" t="str">
        <f>IF(ISBLANK($B44),"",VLOOKUP($B44,'Eingabe Zeiten'!CK:DJ,6,0))</f>
        <v>12:32:41,13</v>
      </c>
      <c r="T44" s="116" t="str">
        <f>IF(ISBLANK($B44),"",VLOOKUP($B44,'Eingabe Zeiten'!CK:DJ,7,0))</f>
        <v>12:39:21,2</v>
      </c>
      <c r="U44" s="279">
        <f t="shared" si="4"/>
        <v>4.6304398148148129E-3</v>
      </c>
      <c r="V44" s="132" t="str">
        <f>IF(ISBLANK($B44),"",VLOOKUP($B44,'Eingabe Zeiten'!CK:DJ,8,0))</f>
        <v>0:0:0,0</v>
      </c>
      <c r="W44" s="117" t="str">
        <f t="shared" si="5"/>
        <v/>
      </c>
      <c r="X44" s="115" t="str">
        <f>IF(ISBLANK($B44),"",VLOOKUP($B44,'Eingabe Zeiten'!CK:DJ,10,0))</f>
        <v>13:47:24,42</v>
      </c>
      <c r="Y44" s="116" t="str">
        <f>IF(ISBLANK($B44),"",VLOOKUP($B44,'Eingabe Zeiten'!CK:DJ,11,0))</f>
        <v>13:52:51,36</v>
      </c>
      <c r="Z44" s="279">
        <f t="shared" si="6"/>
        <v>3.7840277777777542E-3</v>
      </c>
      <c r="AA44" s="132" t="str">
        <f>IF(ISBLANK($B44),"",VLOOKUP($B44,'Eingabe Zeiten'!CK:DJ,12,0))</f>
        <v>0:0:0,0</v>
      </c>
      <c r="AB44" s="117" t="str">
        <f t="shared" si="7"/>
        <v/>
      </c>
      <c r="AC44" s="115" t="str">
        <f>IF(ISBLANK($B44),"",VLOOKUP($B44,'Eingabe Zeiten'!CK:DJ,14,0))</f>
        <v>15:8:27,72</v>
      </c>
      <c r="AD44" s="116" t="str">
        <f>IF(ISBLANK($B44),"",VLOOKUP($B44,'Eingabe Zeiten'!CK:DJ,15,0))</f>
        <v>15:14:44,54</v>
      </c>
      <c r="AE44" s="279">
        <f t="shared" si="8"/>
        <v>4.3613425925925764E-3</v>
      </c>
      <c r="AF44" s="132" t="str">
        <f>IF(ISBLANK($B44),"",VLOOKUP($B44,'Eingabe Zeiten'!CK:DJ,16,0))</f>
        <v>0:0:0,0</v>
      </c>
      <c r="AG44" s="117" t="str">
        <f t="shared" si="9"/>
        <v/>
      </c>
      <c r="AH44" s="115" t="str">
        <f>IF(ISBLANK($B44),"",VLOOKUP($B44,'Eingabe Zeiten'!CK:DJ,18,0))</f>
        <v>15:39:25,15</v>
      </c>
      <c r="AI44" s="116" t="str">
        <f>IF(ISBLANK($B44),"",VLOOKUP($B44,'Eingabe Zeiten'!CK:DJ,19,0))</f>
        <v>15:44:44,64</v>
      </c>
      <c r="AJ44" s="279">
        <f t="shared" si="10"/>
        <v>3.6978009259258648E-3</v>
      </c>
      <c r="AK44" s="132" t="str">
        <f>IF(ISBLANK($B44),"",VLOOKUP($B44,'Eingabe Zeiten'!CK:DJ,20,0))</f>
        <v>0:0:0,0</v>
      </c>
      <c r="AL44" s="117" t="str">
        <f t="shared" si="11"/>
        <v/>
      </c>
      <c r="AM44" s="115" t="str">
        <f>IF(ISBLANK($B44),"",VLOOKUP($B44,'Eingabe Zeiten'!CK:DJ,22,0))</f>
        <v>0:0:0,0</v>
      </c>
      <c r="AN44" s="116" t="str">
        <f>IF(ISBLANK($B44),"",VLOOKUP($B44,'Eingabe Zeiten'!CK:DJ,23,0))</f>
        <v>0:0:0,0</v>
      </c>
      <c r="AO44" s="279">
        <f t="shared" si="16"/>
        <v>0</v>
      </c>
      <c r="AP44" s="132" t="str">
        <f>IF(ISBLANK($B44),"",VLOOKUP($B44,'Eingabe Zeiten'!CK:DJ,24,0))</f>
        <v>0:0:0,0</v>
      </c>
      <c r="AQ44" s="117" t="str">
        <f t="shared" si="13"/>
        <v/>
      </c>
      <c r="AR44" s="136" t="str">
        <f>IF(ISBLANK($B44),"",VLOOKUP($B44,'Eingabe Zeiten'!CK:DJ,26,0))</f>
        <v>0:0:0,0</v>
      </c>
      <c r="AS44" s="213"/>
      <c r="AT44" s="279">
        <f t="shared" si="18"/>
        <v>2.0432523148147974E-2</v>
      </c>
      <c r="AU44" s="139">
        <f t="shared" si="19"/>
        <v>3.4722222222222224E-4</v>
      </c>
      <c r="AV44" s="224">
        <f t="shared" si="17"/>
        <v>2.0779745370370195E-2</v>
      </c>
    </row>
    <row r="45" spans="2:48" s="214" customFormat="1" ht="27.75" customHeight="1">
      <c r="B45" s="118">
        <v>39</v>
      </c>
      <c r="C45" s="275">
        <f>IF(ISBLANK($B45),"",VLOOKUP($B45,Teilnehmer!$B$4:$K$199,2,0))</f>
        <v>2</v>
      </c>
      <c r="D45" s="276">
        <f>IF(ISBLANK($B45),"",VLOOKUP($B45,Teilnehmer!$B$4:$K$199,3,0))</f>
        <v>8</v>
      </c>
      <c r="E45" s="93" t="str">
        <f>IF(ISBLANK($B45),"",VLOOKUP($B45,Teilnehmer!$B$4:$K$199,4,0))</f>
        <v>Bruchhäuser Gil</v>
      </c>
      <c r="F45" s="285">
        <f>IF(ISBLANK($B45),"",VLOOKUP($B45,Teilnehmer!$B$4:$K$199,5,0))</f>
        <v>16444</v>
      </c>
      <c r="G45" s="288" t="str">
        <f>IF(ISBLANK($B45),"",VLOOKUP($B45,Teilnehmer!$B$4:$K$199,6,0))</f>
        <v>RG Ga(a)s</v>
      </c>
      <c r="H45" s="93" t="str">
        <f>IF(ISBLANK($B45),"",VLOOKUP($B45,Teilnehmer!$B$4:$K$199,7,0))</f>
        <v>Kölsch Björn</v>
      </c>
      <c r="I45" s="285">
        <f>IF(ISBLANK($B45),"",VLOOKUP($B45,Teilnehmer!$B$4:$K$199,8,0))</f>
        <v>16445</v>
      </c>
      <c r="J45" s="289" t="str">
        <f>IF(ISBLANK($B45),"",VLOOKUP($B45,Teilnehmer!$B$4:$K$199,9,0))</f>
        <v>-</v>
      </c>
      <c r="K45" s="180" t="str">
        <f>IF(ISBLANK($B45),"",VLOOKUP($B45,Teilnehmer!$B$4:$K$199,10,0))</f>
        <v>Citroën C2 R2 Max</v>
      </c>
      <c r="L45" s="212"/>
      <c r="M45" s="226">
        <f t="shared" si="1"/>
        <v>39</v>
      </c>
      <c r="N45" s="115" t="str">
        <f>IF(ISBLANK($B45),"",VLOOKUP($B45,'Eingabe Zeiten'!CK:DJ,2,0))</f>
        <v>11:35:21,25</v>
      </c>
      <c r="O45" s="116" t="str">
        <f>IF(ISBLANK($B45),"",VLOOKUP($B45,'Eingabe Zeiten'!CK:DJ,3,0))</f>
        <v>11:40:49,58</v>
      </c>
      <c r="P45" s="279">
        <f t="shared" si="2"/>
        <v>3.8001157407407948E-3</v>
      </c>
      <c r="Q45" s="132" t="str">
        <f>IF(ISBLANK($B45),"",VLOOKUP($B45,'Eingabe Zeiten'!CK:DJ,4,0))</f>
        <v>0:0:0,0</v>
      </c>
      <c r="R45" s="117" t="str">
        <f t="shared" si="3"/>
        <v/>
      </c>
      <c r="S45" s="115" t="str">
        <f>IF(ISBLANK($B45),"",VLOOKUP($B45,'Eingabe Zeiten'!CK:DJ,6,0))</f>
        <v>12:32:59,80</v>
      </c>
      <c r="T45" s="116" t="str">
        <f>IF(ISBLANK($B45),"",VLOOKUP($B45,'Eingabe Zeiten'!CK:DJ,7,0))</f>
        <v>12:39:16,90</v>
      </c>
      <c r="U45" s="279">
        <f t="shared" si="4"/>
        <v>4.3645833333333384E-3</v>
      </c>
      <c r="V45" s="132" t="str">
        <f>IF(ISBLANK($B45),"",VLOOKUP($B45,'Eingabe Zeiten'!CK:DJ,8,0))</f>
        <v>0:0:0,0</v>
      </c>
      <c r="W45" s="117" t="str">
        <f t="shared" si="5"/>
        <v/>
      </c>
      <c r="X45" s="115" t="str">
        <f>IF(ISBLANK($B45),"",VLOOKUP($B45,'Eingabe Zeiten'!CK:DJ,10,0))</f>
        <v>13:47:58,86</v>
      </c>
      <c r="Y45" s="116" t="str">
        <f>IF(ISBLANK($B45),"",VLOOKUP($B45,'Eingabe Zeiten'!CK:DJ,11,0))</f>
        <v>13:53:23,93</v>
      </c>
      <c r="Z45" s="279">
        <f t="shared" si="6"/>
        <v>3.7623842592592327E-3</v>
      </c>
      <c r="AA45" s="132" t="str">
        <f>IF(ISBLANK($B45),"",VLOOKUP($B45,'Eingabe Zeiten'!CK:DJ,12,0))</f>
        <v>0:0:0,0</v>
      </c>
      <c r="AB45" s="117" t="str">
        <f t="shared" si="7"/>
        <v/>
      </c>
      <c r="AC45" s="115" t="str">
        <f>IF(ISBLANK($B45),"",VLOOKUP($B45,'Eingabe Zeiten'!CK:DJ,14,0))</f>
        <v>15:8:56,96</v>
      </c>
      <c r="AD45" s="116" t="str">
        <f>IF(ISBLANK($B45),"",VLOOKUP($B45,'Eingabe Zeiten'!CK:DJ,15,0))</f>
        <v>15:14:55,96</v>
      </c>
      <c r="AE45" s="279">
        <f t="shared" si="8"/>
        <v>4.155092592592613E-3</v>
      </c>
      <c r="AF45" s="132" t="str">
        <f>IF(ISBLANK($B45),"",VLOOKUP($B45,'Eingabe Zeiten'!CK:DJ,16,0))</f>
        <v>0:0:0,0</v>
      </c>
      <c r="AG45" s="117" t="str">
        <f t="shared" si="9"/>
        <v/>
      </c>
      <c r="AH45" s="115" t="str">
        <f>IF(ISBLANK($B45),"",VLOOKUP($B45,'Eingabe Zeiten'!CK:DJ,18,0))</f>
        <v>15:40:32,83</v>
      </c>
      <c r="AI45" s="116" t="str">
        <f>IF(ISBLANK($B45),"",VLOOKUP($B45,'Eingabe Zeiten'!CK:DJ,19,0))</f>
        <v>15:45:50,86</v>
      </c>
      <c r="AJ45" s="279">
        <f t="shared" si="10"/>
        <v>3.6809027777777725E-3</v>
      </c>
      <c r="AK45" s="132" t="str">
        <f>IF(ISBLANK($B45),"",VLOOKUP($B45,'Eingabe Zeiten'!CK:DJ,20,0))</f>
        <v>0:0:0,0</v>
      </c>
      <c r="AL45" s="117" t="str">
        <f t="shared" si="11"/>
        <v/>
      </c>
      <c r="AM45" s="115" t="str">
        <f>IF(ISBLANK($B45),"",VLOOKUP($B45,'Eingabe Zeiten'!CK:DJ,22,0))</f>
        <v>0:0:0,0</v>
      </c>
      <c r="AN45" s="116" t="str">
        <f>IF(ISBLANK($B45),"",VLOOKUP($B45,'Eingabe Zeiten'!CK:DJ,23,0))</f>
        <v>0:0:0,0</v>
      </c>
      <c r="AO45" s="279">
        <f t="shared" si="16"/>
        <v>0</v>
      </c>
      <c r="AP45" s="132" t="str">
        <f>IF(ISBLANK($B45),"",VLOOKUP($B45,'Eingabe Zeiten'!CK:DJ,24,0))</f>
        <v>0:0:0,0</v>
      </c>
      <c r="AQ45" s="117" t="str">
        <f t="shared" si="13"/>
        <v/>
      </c>
      <c r="AR45" s="136" t="str">
        <f>IF(ISBLANK($B45),"",VLOOKUP($B45,'Eingabe Zeiten'!CK:DJ,26,0))</f>
        <v>0:0:0,0</v>
      </c>
      <c r="AS45" s="213"/>
      <c r="AT45" s="279">
        <f t="shared" si="18"/>
        <v>1.9763078703703751E-2</v>
      </c>
      <c r="AU45" s="139">
        <f t="shared" si="19"/>
        <v>0</v>
      </c>
      <c r="AV45" s="224">
        <f t="shared" si="17"/>
        <v>1.9763078703703751E-2</v>
      </c>
    </row>
    <row r="46" spans="2:48" s="214" customFormat="1" ht="27.75" customHeight="1">
      <c r="B46" s="118">
        <v>40</v>
      </c>
      <c r="C46" s="275">
        <f>IF(ISBLANK($B46),"",VLOOKUP($B46,Teilnehmer!$B$4:$K$199,2,0))</f>
        <v>2</v>
      </c>
      <c r="D46" s="276">
        <f>IF(ISBLANK($B46),"",VLOOKUP($B46,Teilnehmer!$B$4:$K$199,3,0))</f>
        <v>8</v>
      </c>
      <c r="E46" s="93" t="str">
        <f>IF(ISBLANK($B46),"",VLOOKUP($B46,Teilnehmer!$B$4:$K$199,4,0))</f>
        <v>Preis Gerhard</v>
      </c>
      <c r="F46" s="285">
        <f>IF(ISBLANK($B46),"",VLOOKUP($B46,Teilnehmer!$B$4:$K$199,5,0))</f>
        <v>15058</v>
      </c>
      <c r="G46" s="288" t="str">
        <f>IF(ISBLANK($B46),"",VLOOKUP($B46,Teilnehmer!$B$4:$K$199,6,0))</f>
        <v>-</v>
      </c>
      <c r="H46" s="93" t="str">
        <f>IF(ISBLANK($B46),"",VLOOKUP($B46,Teilnehmer!$B$4:$K$199,7,0))</f>
        <v>Zellner Samuel</v>
      </c>
      <c r="I46" s="285">
        <f>IF(ISBLANK($B46),"",VLOOKUP($B46,Teilnehmer!$B$4:$K$199,8,0))</f>
        <v>16716</v>
      </c>
      <c r="J46" s="289" t="str">
        <f>IF(ISBLANK($B46),"",VLOOKUP($B46,Teilnehmer!$B$4:$K$199,9,0))</f>
        <v>-</v>
      </c>
      <c r="K46" s="180" t="str">
        <f>IF(ISBLANK($B46),"",VLOOKUP($B46,Teilnehmer!$B$4:$K$199,10,0))</f>
        <v>VW Polo GTI</v>
      </c>
      <c r="L46" s="212"/>
      <c r="M46" s="226">
        <f t="shared" si="1"/>
        <v>40</v>
      </c>
      <c r="N46" s="115" t="str">
        <f>IF(ISBLANK($B46),"",VLOOKUP($B46,'Eingabe Zeiten'!CK:DJ,2,0))</f>
        <v>11:36:16,15</v>
      </c>
      <c r="O46" s="116" t="str">
        <f>IF(ISBLANK($B46),"",VLOOKUP($B46,'Eingabe Zeiten'!CK:DJ,3,0))</f>
        <v>11:42:2,12</v>
      </c>
      <c r="P46" s="279">
        <f t="shared" si="2"/>
        <v>4.0042824074074113E-3</v>
      </c>
      <c r="Q46" s="132" t="str">
        <f>IF(ISBLANK($B46),"",VLOOKUP($B46,'Eingabe Zeiten'!CK:DJ,4,0))</f>
        <v>0:0:0,0</v>
      </c>
      <c r="R46" s="117" t="str">
        <f t="shared" si="3"/>
        <v/>
      </c>
      <c r="S46" s="115" t="str">
        <f>IF(ISBLANK($B46),"",VLOOKUP($B46,'Eingabe Zeiten'!CK:DJ,6,0))</f>
        <v>12:33:23,53</v>
      </c>
      <c r="T46" s="116" t="str">
        <f>IF(ISBLANK($B46),"",VLOOKUP($B46,'Eingabe Zeiten'!CK:DJ,7,0))</f>
        <v>12:39:54,56</v>
      </c>
      <c r="U46" s="279">
        <f t="shared" si="4"/>
        <v>4.525810185185164E-3</v>
      </c>
      <c r="V46" s="132" t="str">
        <f>IF(ISBLANK($B46),"",VLOOKUP($B46,'Eingabe Zeiten'!CK:DJ,8,0))</f>
        <v>0:0:0,0</v>
      </c>
      <c r="W46" s="117" t="str">
        <f t="shared" si="5"/>
        <v/>
      </c>
      <c r="X46" s="115" t="str">
        <f>IF(ISBLANK($B46),"",VLOOKUP($B46,'Eingabe Zeiten'!CK:DJ,10,0))</f>
        <v>13:50:28,0</v>
      </c>
      <c r="Y46" s="116" t="str">
        <f>IF(ISBLANK($B46),"",VLOOKUP($B46,'Eingabe Zeiten'!CK:DJ,11,0))</f>
        <v>13:56:9,75</v>
      </c>
      <c r="Z46" s="279">
        <f t="shared" si="6"/>
        <v>3.9554398148148318E-3</v>
      </c>
      <c r="AA46" s="132" t="str">
        <f>IF(ISBLANK($B46),"",VLOOKUP($B46,'Eingabe Zeiten'!CK:DJ,12,0))</f>
        <v>0:0:0,0</v>
      </c>
      <c r="AB46" s="117" t="str">
        <f t="shared" si="7"/>
        <v/>
      </c>
      <c r="AC46" s="115" t="str">
        <f>IF(ISBLANK($B46),"",VLOOKUP($B46,'Eingabe Zeiten'!CK:DJ,14,0))</f>
        <v>15:9:14,87</v>
      </c>
      <c r="AD46" s="116" t="str">
        <f>IF(ISBLANK($B46),"",VLOOKUP($B46,'Eingabe Zeiten'!CK:DJ,15,0))</f>
        <v>15:15:37,12</v>
      </c>
      <c r="AE46" s="279">
        <f t="shared" si="8"/>
        <v>4.4241898148147385E-3</v>
      </c>
      <c r="AF46" s="132" t="str">
        <f>IF(ISBLANK($B46),"",VLOOKUP($B46,'Eingabe Zeiten'!CK:DJ,16,0))</f>
        <v>0:0:0,0</v>
      </c>
      <c r="AG46" s="117" t="str">
        <f t="shared" si="9"/>
        <v/>
      </c>
      <c r="AH46" s="115" t="str">
        <f>IF(ISBLANK($B46),"",VLOOKUP($B46,'Eingabe Zeiten'!CK:DJ,18,0))</f>
        <v>15:41:50,93</v>
      </c>
      <c r="AI46" s="116" t="str">
        <f>IF(ISBLANK($B46),"",VLOOKUP($B46,'Eingabe Zeiten'!CK:DJ,19,0))</f>
        <v>15:47:31,41</v>
      </c>
      <c r="AJ46" s="279">
        <f t="shared" si="10"/>
        <v>3.9407407407408002E-3</v>
      </c>
      <c r="AK46" s="132" t="str">
        <f>IF(ISBLANK($B46),"",VLOOKUP($B46,'Eingabe Zeiten'!CK:DJ,20,0))</f>
        <v>0:0:0,0</v>
      </c>
      <c r="AL46" s="117" t="str">
        <f t="shared" si="11"/>
        <v/>
      </c>
      <c r="AM46" s="115" t="str">
        <f>IF(ISBLANK($B46),"",VLOOKUP($B46,'Eingabe Zeiten'!CK:DJ,22,0))</f>
        <v>0:0:0,0</v>
      </c>
      <c r="AN46" s="116" t="str">
        <f>IF(ISBLANK($B46),"",VLOOKUP($B46,'Eingabe Zeiten'!CK:DJ,23,0))</f>
        <v>0:0:0,0</v>
      </c>
      <c r="AO46" s="279">
        <f t="shared" si="16"/>
        <v>0</v>
      </c>
      <c r="AP46" s="132" t="str">
        <f>IF(ISBLANK($B46),"",VLOOKUP($B46,'Eingabe Zeiten'!CK:DJ,24,0))</f>
        <v>0:0:0,0</v>
      </c>
      <c r="AQ46" s="117" t="str">
        <f t="shared" si="13"/>
        <v/>
      </c>
      <c r="AR46" s="136" t="str">
        <f>IF(ISBLANK($B46),"",VLOOKUP($B46,'Eingabe Zeiten'!CK:DJ,26,0))</f>
        <v>0:0:0,0</v>
      </c>
      <c r="AS46" s="213"/>
      <c r="AT46" s="279">
        <f t="shared" si="18"/>
        <v>2.0850462962962946E-2</v>
      </c>
      <c r="AU46" s="139">
        <f t="shared" si="19"/>
        <v>0</v>
      </c>
      <c r="AV46" s="224">
        <f t="shared" si="17"/>
        <v>2.0850462962962946E-2</v>
      </c>
    </row>
    <row r="47" spans="2:48" s="214" customFormat="1" ht="27.75" customHeight="1">
      <c r="B47" s="118">
        <v>41</v>
      </c>
      <c r="C47" s="275">
        <f>IF(ISBLANK($B47),"",VLOOKUP($B47,Teilnehmer!$B$4:$K$199,2,0))</f>
        <v>2</v>
      </c>
      <c r="D47" s="276">
        <f>IF(ISBLANK($B47),"",VLOOKUP($B47,Teilnehmer!$B$4:$K$199,3,0))</f>
        <v>8</v>
      </c>
      <c r="E47" s="93" t="str">
        <f>IF(ISBLANK($B47),"",VLOOKUP($B47,Teilnehmer!$B$4:$K$199,4,0))</f>
        <v>Lange Kay Mario Oliver</v>
      </c>
      <c r="F47" s="285">
        <f>IF(ISBLANK($B47),"",VLOOKUP($B47,Teilnehmer!$B$4:$K$199,5,0))</f>
        <v>14751</v>
      </c>
      <c r="G47" s="288" t="str">
        <f>IF(ISBLANK($B47),"",VLOOKUP($B47,Teilnehmer!$B$4:$K$199,6,0))</f>
        <v>MSC Mamming</v>
      </c>
      <c r="H47" s="93" t="str">
        <f>IF(ISBLANK($B47),"",VLOOKUP($B47,Teilnehmer!$B$4:$K$199,7,0))</f>
        <v>Lange Nina</v>
      </c>
      <c r="I47" s="285">
        <f>IF(ISBLANK($B47),"",VLOOKUP($B47,Teilnehmer!$B$4:$K$199,8,0))</f>
        <v>15055</v>
      </c>
      <c r="J47" s="289" t="str">
        <f>IF(ISBLANK($B47),"",VLOOKUP($B47,Teilnehmer!$B$4:$K$199,9,0))</f>
        <v>MSC Mamming</v>
      </c>
      <c r="K47" s="180" t="str">
        <f>IF(ISBLANK($B47),"",VLOOKUP($B47,Teilnehmer!$B$4:$K$199,10,0))</f>
        <v>Honda Civic</v>
      </c>
      <c r="L47" s="212"/>
      <c r="M47" s="226">
        <f t="shared" si="1"/>
        <v>41</v>
      </c>
      <c r="N47" s="115" t="str">
        <f>IF(ISBLANK($B47),"",VLOOKUP($B47,'Eingabe Zeiten'!CK:DJ,2,0))</f>
        <v>11:36:51,72</v>
      </c>
      <c r="O47" s="116" t="str">
        <f>IF(ISBLANK($B47),"",VLOOKUP($B47,'Eingabe Zeiten'!CK:DJ,3,0))</f>
        <v>11:45:27,8</v>
      </c>
      <c r="P47" s="279">
        <f t="shared" si="2"/>
        <v>5.9731481481481441E-3</v>
      </c>
      <c r="Q47" s="132" t="str">
        <f>IF(ISBLANK($B47),"",VLOOKUP($B47,'Eingabe Zeiten'!CK:DJ,4,0))</f>
        <v>0:0:0,0</v>
      </c>
      <c r="R47" s="117" t="str">
        <f t="shared" si="3"/>
        <v/>
      </c>
      <c r="S47" s="115" t="str">
        <f>IF(ISBLANK($B47),"",VLOOKUP($B47,'Eingabe Zeiten'!CK:DJ,6,0))</f>
        <v>12:38:24,55</v>
      </c>
      <c r="T47" s="116" t="str">
        <f>IF(ISBLANK($B47),"",VLOOKUP($B47,'Eingabe Zeiten'!CK:DJ,7,0))</f>
        <v>12:45:25,40</v>
      </c>
      <c r="U47" s="279">
        <f t="shared" si="4"/>
        <v>4.870949074074038E-3</v>
      </c>
      <c r="V47" s="132" t="str">
        <f>IF(ISBLANK($B47),"",VLOOKUP($B47,'Eingabe Zeiten'!CK:DJ,8,0))</f>
        <v>0:0:0,0</v>
      </c>
      <c r="W47" s="117" t="str">
        <f t="shared" si="5"/>
        <v/>
      </c>
      <c r="X47" s="115" t="str">
        <f>IF(ISBLANK($B47),"",VLOOKUP($B47,'Eingabe Zeiten'!CK:DJ,10,0))</f>
        <v>13:50:49,68</v>
      </c>
      <c r="Y47" s="116" t="str">
        <f>IF(ISBLANK($B47),"",VLOOKUP($B47,'Eingabe Zeiten'!CK:DJ,11,0))</f>
        <v>13:56:52,32</v>
      </c>
      <c r="Z47" s="279">
        <f t="shared" si="6"/>
        <v>4.1972222222221856E-3</v>
      </c>
      <c r="AA47" s="132" t="str">
        <f>IF(ISBLANK($B47),"",VLOOKUP($B47,'Eingabe Zeiten'!CK:DJ,12,0))</f>
        <v>0:0:0,0</v>
      </c>
      <c r="AB47" s="117" t="str">
        <f t="shared" si="7"/>
        <v/>
      </c>
      <c r="AC47" s="115" t="str">
        <f>IF(ISBLANK($B47),"",VLOOKUP($B47,'Eingabe Zeiten'!CK:DJ,14,0))</f>
        <v>15:9:41,61</v>
      </c>
      <c r="AD47" s="116" t="str">
        <f>IF(ISBLANK($B47),"",VLOOKUP($B47,'Eingabe Zeiten'!CK:DJ,15,0))</f>
        <v>15:16:27,20</v>
      </c>
      <c r="AE47" s="279">
        <f t="shared" si="8"/>
        <v>4.6943287037035653E-3</v>
      </c>
      <c r="AF47" s="132" t="str">
        <f>IF(ISBLANK($B47),"",VLOOKUP($B47,'Eingabe Zeiten'!CK:DJ,16,0))</f>
        <v>0:0:0,0</v>
      </c>
      <c r="AG47" s="117" t="str">
        <f t="shared" si="9"/>
        <v/>
      </c>
      <c r="AH47" s="115" t="str">
        <f>IF(ISBLANK($B47),"",VLOOKUP($B47,'Eingabe Zeiten'!CK:DJ,18,0))</f>
        <v>15:42:52,20</v>
      </c>
      <c r="AI47" s="116" t="str">
        <f>IF(ISBLANK($B47),"",VLOOKUP($B47,'Eingabe Zeiten'!CK:DJ,19,0))</f>
        <v>15:48:54,38</v>
      </c>
      <c r="AJ47" s="279">
        <f t="shared" si="10"/>
        <v>4.1918981481481321E-3</v>
      </c>
      <c r="AK47" s="132" t="str">
        <f>IF(ISBLANK($B47),"",VLOOKUP($B47,'Eingabe Zeiten'!CK:DJ,20,0))</f>
        <v>0:0:0,0</v>
      </c>
      <c r="AL47" s="117" t="str">
        <f t="shared" si="11"/>
        <v/>
      </c>
      <c r="AM47" s="115" t="str">
        <f>IF(ISBLANK($B47),"",VLOOKUP($B47,'Eingabe Zeiten'!CK:DJ,22,0))</f>
        <v>0:0:0,0</v>
      </c>
      <c r="AN47" s="116" t="str">
        <f>IF(ISBLANK($B47),"",VLOOKUP($B47,'Eingabe Zeiten'!CK:DJ,23,0))</f>
        <v>0:0:0,0</v>
      </c>
      <c r="AO47" s="279">
        <f t="shared" si="16"/>
        <v>0</v>
      </c>
      <c r="AP47" s="132" t="str">
        <f>IF(ISBLANK($B47),"",VLOOKUP($B47,'Eingabe Zeiten'!CK:DJ,24,0))</f>
        <v>0:0:0,0</v>
      </c>
      <c r="AQ47" s="117" t="str">
        <f t="shared" si="13"/>
        <v/>
      </c>
      <c r="AR47" s="136" t="str">
        <f>IF(ISBLANK($B47),"",VLOOKUP($B47,'Eingabe Zeiten'!CK:DJ,26,0))</f>
        <v>0:0:0,0</v>
      </c>
      <c r="AS47" s="213"/>
      <c r="AT47" s="279">
        <f t="shared" si="18"/>
        <v>2.3927546296296065E-2</v>
      </c>
      <c r="AU47" s="139">
        <f t="shared" si="19"/>
        <v>0</v>
      </c>
      <c r="AV47" s="224">
        <f t="shared" si="17"/>
        <v>2.3927546296296065E-2</v>
      </c>
    </row>
    <row r="48" spans="2:48" s="214" customFormat="1" ht="27.75" customHeight="1">
      <c r="B48" s="118">
        <v>42</v>
      </c>
      <c r="C48" s="275">
        <f>IF(ISBLANK($B48),"",VLOOKUP($B48,Teilnehmer!$B$4:$K$199,2,0))</f>
        <v>2</v>
      </c>
      <c r="D48" s="276">
        <f>IF(ISBLANK($B48),"",VLOOKUP($B48,Teilnehmer!$B$4:$K$199,3,0))</f>
        <v>9</v>
      </c>
      <c r="E48" s="93" t="str">
        <f>IF(ISBLANK($B48),"",VLOOKUP($B48,Teilnehmer!$B$4:$K$199,4,0))</f>
        <v>Drexler Matthias</v>
      </c>
      <c r="F48" s="285">
        <f>IF(ISBLANK($B48),"",VLOOKUP($B48,Teilnehmer!$B$4:$K$199,5,0))</f>
        <v>16648</v>
      </c>
      <c r="G48" s="288" t="str">
        <f>IF(ISBLANK($B48),"",VLOOKUP($B48,Teilnehmer!$B$4:$K$199,6,0))</f>
        <v>Rallyeteam Drexler</v>
      </c>
      <c r="H48" s="93" t="str">
        <f>IF(ISBLANK($B48),"",VLOOKUP($B48,Teilnehmer!$B$4:$K$199,7,0))</f>
        <v>Berger Daniel</v>
      </c>
      <c r="I48" s="285">
        <f>IF(ISBLANK($B48),"",VLOOKUP($B48,Teilnehmer!$B$4:$K$199,8,0))</f>
        <v>15100</v>
      </c>
      <c r="J48" s="289" t="str">
        <f>IF(ISBLANK($B48),"",VLOOKUP($B48,Teilnehmer!$B$4:$K$199,9,0))</f>
        <v>Rallyeteam Drexler</v>
      </c>
      <c r="K48" s="180" t="str">
        <f>IF(ISBLANK($B48),"",VLOOKUP($B48,Teilnehmer!$B$4:$K$199,10,0))</f>
        <v>VW Golf II</v>
      </c>
      <c r="L48" s="212"/>
      <c r="M48" s="226">
        <f t="shared" si="1"/>
        <v>42</v>
      </c>
      <c r="N48" s="115" t="str">
        <f>IF(ISBLANK($B48),"",VLOOKUP($B48,'Eingabe Zeiten'!CK:DJ,2,0))</f>
        <v>11:37:45,79</v>
      </c>
      <c r="O48" s="116" t="str">
        <f>IF(ISBLANK($B48),"",VLOOKUP($B48,'Eingabe Zeiten'!CK:DJ,3,0))</f>
        <v>11:43:33,32</v>
      </c>
      <c r="P48" s="279">
        <f t="shared" si="2"/>
        <v>4.0223379629629741E-3</v>
      </c>
      <c r="Q48" s="132" t="str">
        <f>IF(ISBLANK($B48),"",VLOOKUP($B48,'Eingabe Zeiten'!CK:DJ,4,0))</f>
        <v>0:0:0,0</v>
      </c>
      <c r="R48" s="117" t="str">
        <f t="shared" si="3"/>
        <v/>
      </c>
      <c r="S48" s="115" t="str">
        <f>IF(ISBLANK($B48),"",VLOOKUP($B48,'Eingabe Zeiten'!CK:DJ,6,0))</f>
        <v>12:38:49,49</v>
      </c>
      <c r="T48" s="116" t="str">
        <f>IF(ISBLANK($B48),"",VLOOKUP($B48,'Eingabe Zeiten'!CK:DJ,7,0))</f>
        <v>12:45:21,39</v>
      </c>
      <c r="U48" s="279">
        <f t="shared" si="4"/>
        <v>4.5358796296296466E-3</v>
      </c>
      <c r="V48" s="132" t="str">
        <f>IF(ISBLANK($B48),"",VLOOKUP($B48,'Eingabe Zeiten'!CK:DJ,8,0))</f>
        <v>0:0:0,0</v>
      </c>
      <c r="W48" s="117" t="str">
        <f t="shared" si="5"/>
        <v/>
      </c>
      <c r="X48" s="115" t="str">
        <f>IF(ISBLANK($B48),"",VLOOKUP($B48,'Eingabe Zeiten'!CK:DJ,10,0))</f>
        <v>13:51:30,18</v>
      </c>
      <c r="Y48" s="116" t="str">
        <f>IF(ISBLANK($B48),"",VLOOKUP($B48,'Eingabe Zeiten'!CK:DJ,11,0))</f>
        <v>13:57:10,67</v>
      </c>
      <c r="Z48" s="279">
        <f t="shared" si="6"/>
        <v>3.9408564814814584E-3</v>
      </c>
      <c r="AA48" s="132" t="str">
        <f>IF(ISBLANK($B48),"",VLOOKUP($B48,'Eingabe Zeiten'!CK:DJ,12,0))</f>
        <v>0:0:0,0</v>
      </c>
      <c r="AB48" s="117" t="str">
        <f t="shared" si="7"/>
        <v/>
      </c>
      <c r="AC48" s="115" t="str">
        <f>IF(ISBLANK($B48),"",VLOOKUP($B48,'Eingabe Zeiten'!CK:DJ,14,0))</f>
        <v>15:13:59,48</v>
      </c>
      <c r="AD48" s="116" t="str">
        <f>IF(ISBLANK($B48),"",VLOOKUP($B48,'Eingabe Zeiten'!CK:DJ,15,0))</f>
        <v>15:20:17,64</v>
      </c>
      <c r="AE48" s="279">
        <f t="shared" si="8"/>
        <v>4.3768518518517707E-3</v>
      </c>
      <c r="AF48" s="132" t="str">
        <f>IF(ISBLANK($B48),"",VLOOKUP($B48,'Eingabe Zeiten'!CK:DJ,16,0))</f>
        <v>0:0:0,0</v>
      </c>
      <c r="AG48" s="117" t="str">
        <f t="shared" si="9"/>
        <v/>
      </c>
      <c r="AH48" s="115" t="str">
        <f>IF(ISBLANK($B48),"",VLOOKUP($B48,'Eingabe Zeiten'!CK:DJ,18,0))</f>
        <v>15:45:39,98</v>
      </c>
      <c r="AI48" s="116" t="str">
        <f>IF(ISBLANK($B48),"",VLOOKUP($B48,'Eingabe Zeiten'!CK:DJ,19,0))</f>
        <v>15:51:20,58</v>
      </c>
      <c r="AJ48" s="279">
        <f t="shared" si="10"/>
        <v>3.9421296296295871E-3</v>
      </c>
      <c r="AK48" s="132" t="str">
        <f>IF(ISBLANK($B48),"",VLOOKUP($B48,'Eingabe Zeiten'!CK:DJ,20,0))</f>
        <v>0:0:30,0</v>
      </c>
      <c r="AL48" s="117" t="str">
        <f t="shared" si="11"/>
        <v/>
      </c>
      <c r="AM48" s="115" t="str">
        <f>IF(ISBLANK($B48),"",VLOOKUP($B48,'Eingabe Zeiten'!CK:DJ,22,0))</f>
        <v>0:0:0,0</v>
      </c>
      <c r="AN48" s="116" t="str">
        <f>IF(ISBLANK($B48),"",VLOOKUP($B48,'Eingabe Zeiten'!CK:DJ,23,0))</f>
        <v>0:0:0,0</v>
      </c>
      <c r="AO48" s="279">
        <f t="shared" si="16"/>
        <v>0</v>
      </c>
      <c r="AP48" s="132" t="str">
        <f>IF(ISBLANK($B48),"",VLOOKUP($B48,'Eingabe Zeiten'!CK:DJ,24,0))</f>
        <v>0:0:0,0</v>
      </c>
      <c r="AQ48" s="117" t="str">
        <f t="shared" si="13"/>
        <v/>
      </c>
      <c r="AR48" s="136" t="str">
        <f>IF(ISBLANK($B48),"",VLOOKUP($B48,'Eingabe Zeiten'!CK:DJ,26,0))</f>
        <v>0:0:0,0</v>
      </c>
      <c r="AS48" s="213"/>
      <c r="AT48" s="279">
        <f t="shared" si="18"/>
        <v>2.0818055555555437E-2</v>
      </c>
      <c r="AU48" s="139">
        <f t="shared" si="19"/>
        <v>3.4722222222222224E-4</v>
      </c>
      <c r="AV48" s="224">
        <f t="shared" si="17"/>
        <v>2.1165277777777658E-2</v>
      </c>
    </row>
    <row r="49" spans="2:48" s="214" customFormat="1" ht="27.75" customHeight="1">
      <c r="B49" s="118">
        <v>43</v>
      </c>
      <c r="C49" s="275">
        <f>IF(ISBLANK($B49),"",VLOOKUP($B49,Teilnehmer!$B$4:$K$199,2,0))</f>
        <v>2</v>
      </c>
      <c r="D49" s="276">
        <f>IF(ISBLANK($B49),"",VLOOKUP($B49,Teilnehmer!$B$4:$K$199,3,0))</f>
        <v>8</v>
      </c>
      <c r="E49" s="93" t="str">
        <f>IF(ISBLANK($B49),"",VLOOKUP($B49,Teilnehmer!$B$4:$K$199,4,0))</f>
        <v>Schmitt Thomas</v>
      </c>
      <c r="F49" s="285">
        <f>IF(ISBLANK($B49),"",VLOOKUP($B49,Teilnehmer!$B$4:$K$199,5,0))</f>
        <v>15607</v>
      </c>
      <c r="G49" s="288" t="str">
        <f>IF(ISBLANK($B49),"",VLOOKUP($B49,Teilnehmer!$B$4:$K$199,6,0))</f>
        <v>-</v>
      </c>
      <c r="H49" s="93" t="str">
        <f>IF(ISBLANK($B49),"",VLOOKUP($B49,Teilnehmer!$B$4:$K$199,7,0))</f>
        <v>Sommer Petra</v>
      </c>
      <c r="I49" s="285">
        <f>IF(ISBLANK($B49),"",VLOOKUP($B49,Teilnehmer!$B$4:$K$199,8,0))</f>
        <v>15606</v>
      </c>
      <c r="J49" s="289" t="str">
        <f>IF(ISBLANK($B49),"",VLOOKUP($B49,Teilnehmer!$B$4:$K$199,9,0))</f>
        <v>-</v>
      </c>
      <c r="K49" s="180" t="str">
        <f>IF(ISBLANK($B49),"",VLOOKUP($B49,Teilnehmer!$B$4:$K$199,10,0))</f>
        <v>Toyota Corolla GT</v>
      </c>
      <c r="L49" s="212"/>
      <c r="M49" s="226">
        <f t="shared" si="1"/>
        <v>43</v>
      </c>
      <c r="N49" s="115" t="str">
        <f>IF(ISBLANK($B49),"",VLOOKUP($B49,'Eingabe Zeiten'!CK:DJ,2,0))</f>
        <v>::,</v>
      </c>
      <c r="O49" s="116" t="str">
        <f>IF(ISBLANK($B49),"",VLOOKUP($B49,'Eingabe Zeiten'!CK:DJ,3,0))</f>
        <v>::,</v>
      </c>
      <c r="P49" s="279" t="s">
        <v>287</v>
      </c>
      <c r="Q49" s="132" t="str">
        <f>IF(ISBLANK($B49),"",VLOOKUP($B49,'Eingabe Zeiten'!CK:DJ,4,0))</f>
        <v>0:0:0,0</v>
      </c>
      <c r="R49" s="117" t="str">
        <f t="shared" si="3"/>
        <v/>
      </c>
      <c r="S49" s="115" t="str">
        <f>IF(ISBLANK($B49),"",VLOOKUP($B49,'Eingabe Zeiten'!CK:DJ,6,0))</f>
        <v>::,</v>
      </c>
      <c r="T49" s="116" t="str">
        <f>IF(ISBLANK($B49),"",VLOOKUP($B49,'Eingabe Zeiten'!CK:DJ,7,0))</f>
        <v>::,</v>
      </c>
      <c r="U49" s="279" t="s">
        <v>287</v>
      </c>
      <c r="V49" s="132" t="str">
        <f>IF(ISBLANK($B49),"",VLOOKUP($B49,'Eingabe Zeiten'!CK:DJ,8,0))</f>
        <v>0:0:0,0</v>
      </c>
      <c r="W49" s="117" t="str">
        <f t="shared" si="5"/>
        <v/>
      </c>
      <c r="X49" s="115" t="str">
        <f>IF(ISBLANK($B49),"",VLOOKUP($B49,'Eingabe Zeiten'!CK:DJ,10,0))</f>
        <v>::,</v>
      </c>
      <c r="Y49" s="116" t="str">
        <f>IF(ISBLANK($B49),"",VLOOKUP($B49,'Eingabe Zeiten'!CK:DJ,11,0))</f>
        <v>::,</v>
      </c>
      <c r="Z49" s="279" t="s">
        <v>287</v>
      </c>
      <c r="AA49" s="132" t="str">
        <f>IF(ISBLANK($B49),"",VLOOKUP($B49,'Eingabe Zeiten'!CK:DJ,12,0))</f>
        <v>0:0:0,0</v>
      </c>
      <c r="AB49" s="117" t="str">
        <f t="shared" si="7"/>
        <v/>
      </c>
      <c r="AC49" s="115" t="str">
        <f>IF(ISBLANK($B49),"",VLOOKUP($B49,'Eingabe Zeiten'!CK:DJ,14,0))</f>
        <v>::,</v>
      </c>
      <c r="AD49" s="116" t="str">
        <f>IF(ISBLANK($B49),"",VLOOKUP($B49,'Eingabe Zeiten'!CK:DJ,15,0))</f>
        <v>::,</v>
      </c>
      <c r="AE49" s="279" t="s">
        <v>287</v>
      </c>
      <c r="AF49" s="132" t="str">
        <f>IF(ISBLANK($B49),"",VLOOKUP($B49,'Eingabe Zeiten'!CK:DJ,16,0))</f>
        <v>0:0:0,0</v>
      </c>
      <c r="AG49" s="117" t="str">
        <f t="shared" si="9"/>
        <v/>
      </c>
      <c r="AH49" s="115" t="str">
        <f>IF(ISBLANK($B49),"",VLOOKUP($B49,'Eingabe Zeiten'!CK:DJ,18,0))</f>
        <v>::,</v>
      </c>
      <c r="AI49" s="116" t="str">
        <f>IF(ISBLANK($B49),"",VLOOKUP($B49,'Eingabe Zeiten'!CK:DJ,19,0))</f>
        <v>::,</v>
      </c>
      <c r="AJ49" s="279" t="s">
        <v>287</v>
      </c>
      <c r="AK49" s="132" t="str">
        <f>IF(ISBLANK($B49),"",VLOOKUP($B49,'Eingabe Zeiten'!CK:DJ,20,0))</f>
        <v>0:0:0,0</v>
      </c>
      <c r="AL49" s="117" t="str">
        <f t="shared" si="11"/>
        <v/>
      </c>
      <c r="AM49" s="115" t="str">
        <f>IF(ISBLANK($B49),"",VLOOKUP($B49,'Eingabe Zeiten'!CK:DJ,22,0))</f>
        <v>0:0:0,0</v>
      </c>
      <c r="AN49" s="116" t="str">
        <f>IF(ISBLANK($B49),"",VLOOKUP($B49,'Eingabe Zeiten'!CK:DJ,23,0))</f>
        <v>0:0:0,0</v>
      </c>
      <c r="AO49" s="279">
        <f t="shared" si="16"/>
        <v>0</v>
      </c>
      <c r="AP49" s="132" t="str">
        <f>IF(ISBLANK($B49),"",VLOOKUP($B49,'Eingabe Zeiten'!CK:DJ,24,0))</f>
        <v>0:0:0,0</v>
      </c>
      <c r="AQ49" s="117" t="str">
        <f t="shared" si="13"/>
        <v/>
      </c>
      <c r="AR49" s="136" t="str">
        <f>IF(ISBLANK($B49),"",VLOOKUP($B49,'Eingabe Zeiten'!CK:DJ,26,0))</f>
        <v>0:0:0,0</v>
      </c>
      <c r="AS49" s="213"/>
      <c r="AT49" s="279" t="s">
        <v>287</v>
      </c>
      <c r="AU49" s="139">
        <f t="shared" si="19"/>
        <v>0</v>
      </c>
      <c r="AV49" s="224" t="s">
        <v>287</v>
      </c>
    </row>
    <row r="50" spans="2:48" s="214" customFormat="1" ht="27.75" customHeight="1">
      <c r="B50" s="118">
        <v>44</v>
      </c>
      <c r="C50" s="275">
        <f>IF(ISBLANK($B50),"",VLOOKUP($B50,Teilnehmer!$B$4:$K$199,2,0))</f>
        <v>2</v>
      </c>
      <c r="D50" s="276">
        <f>IF(ISBLANK($B50),"",VLOOKUP($B50,Teilnehmer!$B$4:$K$199,3,0))</f>
        <v>8</v>
      </c>
      <c r="E50" s="93" t="str">
        <f>IF(ISBLANK($B50),"",VLOOKUP($B50,Teilnehmer!$B$4:$K$199,4,0))</f>
        <v>Michel Torsten</v>
      </c>
      <c r="F50" s="285">
        <f>IF(ISBLANK($B50),"",VLOOKUP($B50,Teilnehmer!$B$4:$K$199,5,0))</f>
        <v>14855</v>
      </c>
      <c r="G50" s="288" t="str">
        <f>IF(ISBLANK($B50),"",VLOOKUP($B50,Teilnehmer!$B$4:$K$199,6,0))</f>
        <v>Chaosteam Motorsport</v>
      </c>
      <c r="H50" s="93" t="str">
        <f>IF(ISBLANK($B50),"",VLOOKUP($B50,Teilnehmer!$B$4:$K$199,7,0))</f>
        <v>Diehm Samantha</v>
      </c>
      <c r="I50" s="285">
        <f>IF(ISBLANK($B50),"",VLOOKUP($B50,Teilnehmer!$B$4:$K$199,8,0))</f>
        <v>15622</v>
      </c>
      <c r="J50" s="289" t="str">
        <f>IF(ISBLANK($B50),"",VLOOKUP($B50,Teilnehmer!$B$4:$K$199,9,0))</f>
        <v>Chaosteam Motorsport</v>
      </c>
      <c r="K50" s="180" t="str">
        <f>IF(ISBLANK($B50),"",VLOOKUP($B50,Teilnehmer!$B$4:$K$199,10,0))</f>
        <v>Ford Fiesta Rally 4</v>
      </c>
      <c r="L50" s="212"/>
      <c r="M50" s="226">
        <f t="shared" si="1"/>
        <v>44</v>
      </c>
      <c r="N50" s="115" t="str">
        <f>IF(ISBLANK($B50),"",VLOOKUP($B50,'Eingabe Zeiten'!CK:DJ,2,0))</f>
        <v>11:39:0,70</v>
      </c>
      <c r="O50" s="116" t="str">
        <f>IF(ISBLANK($B50),"",VLOOKUP($B50,'Eingabe Zeiten'!CK:DJ,3,0))</f>
        <v>11:44:14,13</v>
      </c>
      <c r="P50" s="279">
        <f t="shared" si="2"/>
        <v>3.6276620370370161E-3</v>
      </c>
      <c r="Q50" s="132" t="str">
        <f>IF(ISBLANK($B50),"",VLOOKUP($B50,'Eingabe Zeiten'!CK:DJ,4,0))</f>
        <v>0:0:0,0</v>
      </c>
      <c r="R50" s="117" t="str">
        <f t="shared" si="3"/>
        <v/>
      </c>
      <c r="S50" s="115" t="str">
        <f>IF(ISBLANK($B50),"",VLOOKUP($B50,'Eingabe Zeiten'!CK:DJ,6,0))</f>
        <v>12:39:12,60</v>
      </c>
      <c r="T50" s="116" t="str">
        <f>IF(ISBLANK($B50),"",VLOOKUP($B50,'Eingabe Zeiten'!CK:DJ,7,0))</f>
        <v>12:45:27,75</v>
      </c>
      <c r="U50" s="279">
        <f t="shared" si="4"/>
        <v>4.3420138888888848E-3</v>
      </c>
      <c r="V50" s="132" t="str">
        <f>IF(ISBLANK($B50),"",VLOOKUP($B50,'Eingabe Zeiten'!CK:DJ,8,0))</f>
        <v>0:0:0,0</v>
      </c>
      <c r="W50" s="117" t="str">
        <f t="shared" si="5"/>
        <v/>
      </c>
      <c r="X50" s="115" t="str">
        <f>IF(ISBLANK($B50),"",VLOOKUP($B50,'Eingabe Zeiten'!CK:DJ,10,0))</f>
        <v>13:52:1,10</v>
      </c>
      <c r="Y50" s="116" t="str">
        <f>IF(ISBLANK($B50),"",VLOOKUP($B50,'Eingabe Zeiten'!CK:DJ,11,0))</f>
        <v>13:57:14,67</v>
      </c>
      <c r="Z50" s="279">
        <f t="shared" si="6"/>
        <v>3.6292824074074526E-3</v>
      </c>
      <c r="AA50" s="132" t="str">
        <f>IF(ISBLANK($B50),"",VLOOKUP($B50,'Eingabe Zeiten'!CK:DJ,12,0))</f>
        <v>0:0:0,0</v>
      </c>
      <c r="AB50" s="117" t="str">
        <f t="shared" si="7"/>
        <v/>
      </c>
      <c r="AC50" s="115" t="str">
        <f>IF(ISBLANK($B50),"",VLOOKUP($B50,'Eingabe Zeiten'!CK:DJ,14,0))</f>
        <v>15:14:54,81</v>
      </c>
      <c r="AD50" s="116" t="str">
        <f>IF(ISBLANK($B50),"",VLOOKUP($B50,'Eingabe Zeiten'!CK:DJ,15,0))</f>
        <v>15:21:3,34</v>
      </c>
      <c r="AE50" s="279">
        <f t="shared" si="8"/>
        <v>4.2653935185185121E-3</v>
      </c>
      <c r="AF50" s="132" t="str">
        <f>IF(ISBLANK($B50),"",VLOOKUP($B50,'Eingabe Zeiten'!CK:DJ,16,0))</f>
        <v>0:0:0,0</v>
      </c>
      <c r="AG50" s="117" t="str">
        <f t="shared" si="9"/>
        <v/>
      </c>
      <c r="AH50" s="115" t="str">
        <f>IF(ISBLANK($B50),"",VLOOKUP($B50,'Eingabe Zeiten'!CK:DJ,18,0))</f>
        <v>15:48:29,35</v>
      </c>
      <c r="AI50" s="116" t="str">
        <f>IF(ISBLANK($B50),"",VLOOKUP($B50,'Eingabe Zeiten'!CK:DJ,19,0))</f>
        <v>15:53:37,25</v>
      </c>
      <c r="AJ50" s="279">
        <f t="shared" si="10"/>
        <v>3.5636574074073835E-3</v>
      </c>
      <c r="AK50" s="132" t="str">
        <f>IF(ISBLANK($B50),"",VLOOKUP($B50,'Eingabe Zeiten'!CK:DJ,20,0))</f>
        <v>0:0:0,0</v>
      </c>
      <c r="AL50" s="117" t="str">
        <f t="shared" si="11"/>
        <v/>
      </c>
      <c r="AM50" s="115" t="str">
        <f>IF(ISBLANK($B50),"",VLOOKUP($B50,'Eingabe Zeiten'!CK:DJ,22,0))</f>
        <v>0:0:0,0</v>
      </c>
      <c r="AN50" s="116" t="str">
        <f>IF(ISBLANK($B50),"",VLOOKUP($B50,'Eingabe Zeiten'!CK:DJ,23,0))</f>
        <v>0:0:0,0</v>
      </c>
      <c r="AO50" s="279">
        <f t="shared" si="16"/>
        <v>0</v>
      </c>
      <c r="AP50" s="132" t="str">
        <f>IF(ISBLANK($B50),"",VLOOKUP($B50,'Eingabe Zeiten'!CK:DJ,24,0))</f>
        <v>0:0:0,0</v>
      </c>
      <c r="AQ50" s="117" t="str">
        <f t="shared" si="13"/>
        <v/>
      </c>
      <c r="AR50" s="136" t="str">
        <f>IF(ISBLANK($B50),"",VLOOKUP($B50,'Eingabe Zeiten'!CK:DJ,26,0))</f>
        <v>0:0:0,0</v>
      </c>
      <c r="AS50" s="213"/>
      <c r="AT50" s="279">
        <f t="shared" si="18"/>
        <v>1.9428009259259249E-2</v>
      </c>
      <c r="AU50" s="139">
        <f t="shared" si="19"/>
        <v>0</v>
      </c>
      <c r="AV50" s="224">
        <f t="shared" si="17"/>
        <v>1.9428009259259249E-2</v>
      </c>
    </row>
    <row r="51" spans="2:48" s="214" customFormat="1" ht="27.75" customHeight="1">
      <c r="B51" s="118">
        <v>45</v>
      </c>
      <c r="C51" s="275">
        <f>IF(ISBLANK($B51),"",VLOOKUP($B51,Teilnehmer!$B$4:$K$199,2,0))</f>
        <v>2</v>
      </c>
      <c r="D51" s="276">
        <f>IF(ISBLANK($B51),"",VLOOKUP($B51,Teilnehmer!$B$4:$K$199,3,0))</f>
        <v>8</v>
      </c>
      <c r="E51" s="93" t="str">
        <f>IF(ISBLANK($B51),"",VLOOKUP($B51,Teilnehmer!$B$4:$K$199,4,0))</f>
        <v>Preis sen. Gerhard</v>
      </c>
      <c r="F51" s="285" t="str">
        <f>IF(ISBLANK($B51),"",VLOOKUP($B51,Teilnehmer!$B$4:$K$199,5,0))</f>
        <v>-</v>
      </c>
      <c r="G51" s="288" t="str">
        <f>IF(ISBLANK($B51),"",VLOOKUP($B51,Teilnehmer!$B$4:$K$199,6,0))</f>
        <v>-</v>
      </c>
      <c r="H51" s="93" t="str">
        <f>IF(ISBLANK($B51),"",VLOOKUP($B51,Teilnehmer!$B$4:$K$199,7,0))</f>
        <v>Ilgmeier Erwin</v>
      </c>
      <c r="I51" s="285" t="str">
        <f>IF(ISBLANK($B51),"",VLOOKUP($B51,Teilnehmer!$B$4:$K$199,8,0))</f>
        <v>-</v>
      </c>
      <c r="J51" s="289" t="str">
        <f>IF(ISBLANK($B51),"",VLOOKUP($B51,Teilnehmer!$B$4:$K$199,9,0))</f>
        <v>-</v>
      </c>
      <c r="K51" s="180" t="str">
        <f>IF(ISBLANK($B51),"",VLOOKUP($B51,Teilnehmer!$B$4:$K$199,10,0))</f>
        <v>Peugeot 206</v>
      </c>
      <c r="L51" s="212"/>
      <c r="M51" s="226">
        <f t="shared" si="1"/>
        <v>45</v>
      </c>
      <c r="N51" s="115" t="str">
        <f>IF(ISBLANK($B51),"",VLOOKUP($B51,'Eingabe Zeiten'!CK:DJ,2,0))</f>
        <v>11:40:18,96</v>
      </c>
      <c r="O51" s="116" t="str">
        <f>IF(ISBLANK($B51),"",VLOOKUP($B51,'Eingabe Zeiten'!CK:DJ,3,0))</f>
        <v>11:46:40,76</v>
      </c>
      <c r="P51" s="279">
        <f t="shared" si="2"/>
        <v>4.4189814814815098E-3</v>
      </c>
      <c r="Q51" s="132" t="str">
        <f>IF(ISBLANK($B51),"",VLOOKUP($B51,'Eingabe Zeiten'!CK:DJ,4,0))</f>
        <v>0:0:0,0</v>
      </c>
      <c r="R51" s="117" t="str">
        <f t="shared" si="3"/>
        <v/>
      </c>
      <c r="S51" s="115" t="str">
        <f>IF(ISBLANK($B51),"",VLOOKUP($B51,'Eingabe Zeiten'!CK:DJ,6,0))</f>
        <v>12:39:29,84</v>
      </c>
      <c r="T51" s="116" t="str">
        <f>IF(ISBLANK($B51),"",VLOOKUP($B51,'Eingabe Zeiten'!CK:DJ,7,0))</f>
        <v>12:44:37,75</v>
      </c>
      <c r="U51" s="305">
        <v>1.0416666666666666E-2</v>
      </c>
      <c r="V51" s="132" t="str">
        <f>IF(ISBLANK($B51),"",VLOOKUP($B51,'Eingabe Zeiten'!CK:DJ,8,0))</f>
        <v>0:0:0,0</v>
      </c>
      <c r="W51" s="117" t="str">
        <f t="shared" si="5"/>
        <v/>
      </c>
      <c r="X51" s="115" t="str">
        <f>IF(ISBLANK($B51),"",VLOOKUP($B51,'Eingabe Zeiten'!CK:DJ,10,0))</f>
        <v>13:52:54,59</v>
      </c>
      <c r="Y51" s="116" t="str">
        <f>IF(ISBLANK($B51),"",VLOOKUP($B51,'Eingabe Zeiten'!CK:DJ,11,0))</f>
        <v>13:59:9,17</v>
      </c>
      <c r="Z51" s="279">
        <f t="shared" si="6"/>
        <v>4.3354166666667027E-3</v>
      </c>
      <c r="AA51" s="132" t="str">
        <f>IF(ISBLANK($B51),"",VLOOKUP($B51,'Eingabe Zeiten'!CK:DJ,12,0))</f>
        <v>0:0:0,0</v>
      </c>
      <c r="AB51" s="117" t="str">
        <f t="shared" si="7"/>
        <v/>
      </c>
      <c r="AC51" s="115" t="str">
        <f>IF(ISBLANK($B51),"",VLOOKUP($B51,'Eingabe Zeiten'!CK:DJ,14,0))</f>
        <v>15:15:12,58</v>
      </c>
      <c r="AD51" s="116" t="str">
        <f>IF(ISBLANK($B51),"",VLOOKUP($B51,'Eingabe Zeiten'!CK:DJ,15,0))</f>
        <v>15:22:11,29</v>
      </c>
      <c r="AE51" s="279">
        <f t="shared" si="8"/>
        <v>4.8461805555556348E-3</v>
      </c>
      <c r="AF51" s="132" t="str">
        <f>IF(ISBLANK($B51),"",VLOOKUP($B51,'Eingabe Zeiten'!CK:DJ,16,0))</f>
        <v>0:0:0,0</v>
      </c>
      <c r="AG51" s="117" t="str">
        <f t="shared" si="9"/>
        <v/>
      </c>
      <c r="AH51" s="115" t="str">
        <f>IF(ISBLANK($B51),"",VLOOKUP($B51,'Eingabe Zeiten'!CK:DJ,18,0))</f>
        <v>15:49:15,21</v>
      </c>
      <c r="AI51" s="116" t="str">
        <f>IF(ISBLANK($B51),"",VLOOKUP($B51,'Eingabe Zeiten'!CK:DJ,19,0))</f>
        <v>15:55:35,65</v>
      </c>
      <c r="AJ51" s="279">
        <f t="shared" si="10"/>
        <v>4.4032407407408325E-3</v>
      </c>
      <c r="AK51" s="132" t="str">
        <f>IF(ISBLANK($B51),"",VLOOKUP($B51,'Eingabe Zeiten'!CK:DJ,20,0))</f>
        <v>0:0:0,0</v>
      </c>
      <c r="AL51" s="117" t="str">
        <f t="shared" si="11"/>
        <v/>
      </c>
      <c r="AM51" s="115" t="str">
        <f>IF(ISBLANK($B51),"",VLOOKUP($B51,'Eingabe Zeiten'!CK:DJ,22,0))</f>
        <v>0:0:0,0</v>
      </c>
      <c r="AN51" s="116" t="str">
        <f>IF(ISBLANK($B51),"",VLOOKUP($B51,'Eingabe Zeiten'!CK:DJ,23,0))</f>
        <v>0:0:0,0</v>
      </c>
      <c r="AO51" s="279">
        <f t="shared" si="16"/>
        <v>0</v>
      </c>
      <c r="AP51" s="132" t="str">
        <f>IF(ISBLANK($B51),"",VLOOKUP($B51,'Eingabe Zeiten'!CK:DJ,24,0))</f>
        <v>0:0:0,0</v>
      </c>
      <c r="AQ51" s="117" t="str">
        <f t="shared" si="13"/>
        <v/>
      </c>
      <c r="AR51" s="136" t="str">
        <f>IF(ISBLANK($B51),"",VLOOKUP($B51,'Eingabe Zeiten'!CK:DJ,26,0))</f>
        <v>0:0:0,0</v>
      </c>
      <c r="AS51" s="213"/>
      <c r="AT51" s="279">
        <f t="shared" si="18"/>
        <v>2.8420486111111344E-2</v>
      </c>
      <c r="AU51" s="139">
        <f t="shared" si="19"/>
        <v>0</v>
      </c>
      <c r="AV51" s="224">
        <f t="shared" si="17"/>
        <v>2.8420486111111344E-2</v>
      </c>
    </row>
    <row r="52" spans="2:48" s="214" customFormat="1" ht="27.75" customHeight="1">
      <c r="B52" s="118">
        <v>46</v>
      </c>
      <c r="C52" s="275">
        <f>IF(ISBLANK($B52),"",VLOOKUP($B52,Teilnehmer!$B$4:$K$199,2,0))</f>
        <v>2</v>
      </c>
      <c r="D52" s="276">
        <f>IF(ISBLANK($B52),"",VLOOKUP($B52,Teilnehmer!$B$4:$K$199,3,0))</f>
        <v>8</v>
      </c>
      <c r="E52" s="93" t="str">
        <f>IF(ISBLANK($B52),"",VLOOKUP($B52,Teilnehmer!$B$4:$K$199,4,0))</f>
        <v>Gärtner Daniel</v>
      </c>
      <c r="F52" s="285">
        <f>IF(ISBLANK($B52),"",VLOOKUP($B52,Teilnehmer!$B$4:$K$199,5,0))</f>
        <v>15636</v>
      </c>
      <c r="G52" s="288" t="str">
        <f>IF(ISBLANK($B52),"",VLOOKUP($B52,Teilnehmer!$B$4:$K$199,6,0))</f>
        <v>B+G Rallyesport</v>
      </c>
      <c r="H52" s="93" t="str">
        <f>IF(ISBLANK($B52),"",VLOOKUP($B52,Teilnehmer!$B$4:$K$199,7,0))</f>
        <v>Gärtner Yvonne</v>
      </c>
      <c r="I52" s="285">
        <f>IF(ISBLANK($B52),"",VLOOKUP($B52,Teilnehmer!$B$4:$K$199,8,0))</f>
        <v>15637</v>
      </c>
      <c r="J52" s="289" t="str">
        <f>IF(ISBLANK($B52),"",VLOOKUP($B52,Teilnehmer!$B$4:$K$199,9,0))</f>
        <v>-</v>
      </c>
      <c r="K52" s="180" t="str">
        <f>IF(ISBLANK($B52),"",VLOOKUP($B52,Teilnehmer!$B$4:$K$199,10,0))</f>
        <v>VW Golf I</v>
      </c>
      <c r="L52" s="212"/>
      <c r="M52" s="226">
        <f t="shared" si="1"/>
        <v>46</v>
      </c>
      <c r="N52" s="115" t="str">
        <f>IF(ISBLANK($B52),"",VLOOKUP($B52,'Eingabe Zeiten'!CK:DJ,2,0))</f>
        <v>11:41:18,86</v>
      </c>
      <c r="O52" s="116" t="str">
        <f>IF(ISBLANK($B52),"",VLOOKUP($B52,'Eingabe Zeiten'!CK:DJ,3,0))</f>
        <v>11:47:9,8</v>
      </c>
      <c r="P52" s="279">
        <f t="shared" si="2"/>
        <v>4.0618055555555754E-3</v>
      </c>
      <c r="Q52" s="132" t="str">
        <f>IF(ISBLANK($B52),"",VLOOKUP($B52,'Eingabe Zeiten'!CK:DJ,4,0))</f>
        <v>0:0:0,0</v>
      </c>
      <c r="R52" s="117" t="str">
        <f t="shared" si="3"/>
        <v/>
      </c>
      <c r="S52" s="115" t="str">
        <f>IF(ISBLANK($B52),"",VLOOKUP($B52,'Eingabe Zeiten'!CK:DJ,6,0))</f>
        <v>12:39:45,39</v>
      </c>
      <c r="T52" s="116" t="str">
        <f>IF(ISBLANK($B52),"",VLOOKUP($B52,'Eingabe Zeiten'!CK:DJ,7,0))</f>
        <v>12:46:25,97</v>
      </c>
      <c r="U52" s="279">
        <f t="shared" si="4"/>
        <v>4.6363425925926016E-3</v>
      </c>
      <c r="V52" s="132" t="str">
        <f>IF(ISBLANK($B52),"",VLOOKUP($B52,'Eingabe Zeiten'!CK:DJ,8,0))</f>
        <v>0:0:0,0</v>
      </c>
      <c r="W52" s="117" t="str">
        <f t="shared" si="5"/>
        <v/>
      </c>
      <c r="X52" s="115" t="str">
        <f>IF(ISBLANK($B52),"",VLOOKUP($B52,'Eingabe Zeiten'!CK:DJ,10,0))</f>
        <v>13:54:14,41</v>
      </c>
      <c r="Y52" s="116" t="str">
        <f>IF(ISBLANK($B52),"",VLOOKUP($B52,'Eingabe Zeiten'!CK:DJ,11,0))</f>
        <v>14:0:3,75</v>
      </c>
      <c r="Z52" s="279">
        <f t="shared" si="6"/>
        <v>4.0432870370369356E-3</v>
      </c>
      <c r="AA52" s="132" t="str">
        <f>IF(ISBLANK($B52),"",VLOOKUP($B52,'Eingabe Zeiten'!CK:DJ,12,0))</f>
        <v>0:0:0,0</v>
      </c>
      <c r="AB52" s="117" t="str">
        <f t="shared" si="7"/>
        <v/>
      </c>
      <c r="AC52" s="115" t="str">
        <f>IF(ISBLANK($B52),"",VLOOKUP($B52,'Eingabe Zeiten'!CK:DJ,14,0))</f>
        <v>15:19:41,75</v>
      </c>
      <c r="AD52" s="116" t="str">
        <f>IF(ISBLANK($B52),"",VLOOKUP($B52,'Eingabe Zeiten'!CK:DJ,15,0))</f>
        <v>15:26:4,82</v>
      </c>
      <c r="AE52" s="279">
        <f t="shared" si="8"/>
        <v>4.4336805555555969E-3</v>
      </c>
      <c r="AF52" s="132" t="str">
        <f>IF(ISBLANK($B52),"",VLOOKUP($B52,'Eingabe Zeiten'!CK:DJ,16,0))</f>
        <v>0:0:0,0</v>
      </c>
      <c r="AG52" s="117" t="str">
        <f t="shared" si="9"/>
        <v/>
      </c>
      <c r="AH52" s="115" t="str">
        <f>IF(ISBLANK($B52),"",VLOOKUP($B52,'Eingabe Zeiten'!CK:DJ,18,0))</f>
        <v>15:53:7,95</v>
      </c>
      <c r="AI52" s="116" t="str">
        <f>IF(ISBLANK($B52),"",VLOOKUP($B52,'Eingabe Zeiten'!CK:DJ,19,0))</f>
        <v>15:58:50,45</v>
      </c>
      <c r="AJ52" s="279">
        <f t="shared" si="10"/>
        <v>3.9641203703703054E-3</v>
      </c>
      <c r="AK52" s="132" t="str">
        <f>IF(ISBLANK($B52),"",VLOOKUP($B52,'Eingabe Zeiten'!CK:DJ,20,0))</f>
        <v>0:0:0,0</v>
      </c>
      <c r="AL52" s="117" t="str">
        <f t="shared" si="11"/>
        <v/>
      </c>
      <c r="AM52" s="115" t="str">
        <f>IF(ISBLANK($B52),"",VLOOKUP($B52,'Eingabe Zeiten'!CK:DJ,22,0))</f>
        <v>0:0:0,0</v>
      </c>
      <c r="AN52" s="116" t="str">
        <f>IF(ISBLANK($B52),"",VLOOKUP($B52,'Eingabe Zeiten'!CK:DJ,23,0))</f>
        <v>0:0:0,0</v>
      </c>
      <c r="AO52" s="279">
        <f t="shared" si="16"/>
        <v>0</v>
      </c>
      <c r="AP52" s="132" t="str">
        <f>IF(ISBLANK($B52),"",VLOOKUP($B52,'Eingabe Zeiten'!CK:DJ,24,0))</f>
        <v>0:0:0,0</v>
      </c>
      <c r="AQ52" s="117" t="str">
        <f t="shared" si="13"/>
        <v/>
      </c>
      <c r="AR52" s="136" t="str">
        <f>IF(ISBLANK($B52),"",VLOOKUP($B52,'Eingabe Zeiten'!CK:DJ,26,0))</f>
        <v>0:0:0,0</v>
      </c>
      <c r="AS52" s="213"/>
      <c r="AT52" s="279">
        <f t="shared" si="18"/>
        <v>2.1139236111111015E-2</v>
      </c>
      <c r="AU52" s="139">
        <f t="shared" si="19"/>
        <v>0</v>
      </c>
      <c r="AV52" s="224">
        <f t="shared" si="17"/>
        <v>2.1139236111111015E-2</v>
      </c>
    </row>
    <row r="53" spans="2:48" s="214" customFormat="1" ht="27.75" customHeight="1">
      <c r="B53" s="118">
        <v>47</v>
      </c>
      <c r="C53" s="275">
        <f>IF(ISBLANK($B53),"",VLOOKUP($B53,Teilnehmer!$B$4:$K$199,2,0))</f>
        <v>2</v>
      </c>
      <c r="D53" s="276">
        <f>IF(ISBLANK($B53),"",VLOOKUP($B53,Teilnehmer!$B$4:$K$199,3,0))</f>
        <v>8</v>
      </c>
      <c r="E53" s="93" t="str">
        <f>IF(ISBLANK($B53),"",VLOOKUP($B53,Teilnehmer!$B$4:$K$199,4,0))</f>
        <v>Kahler Patrick</v>
      </c>
      <c r="F53" s="285" t="str">
        <f>IF(ISBLANK($B53),"",VLOOKUP($B53,Teilnehmer!$B$4:$K$199,5,0))</f>
        <v>-</v>
      </c>
      <c r="G53" s="288" t="str">
        <f>IF(ISBLANK($B53),"",VLOOKUP($B53,Teilnehmer!$B$4:$K$199,6,0))</f>
        <v>1stTime2nd-Rallyesport</v>
      </c>
      <c r="H53" s="93" t="str">
        <f>IF(ISBLANK($B53),"",VLOOKUP($B53,Teilnehmer!$B$4:$K$199,7,0))</f>
        <v>Schöppach Dominic</v>
      </c>
      <c r="I53" s="285" t="str">
        <f>IF(ISBLANK($B53),"",VLOOKUP($B53,Teilnehmer!$B$4:$K$199,8,0))</f>
        <v>-</v>
      </c>
      <c r="J53" s="289" t="str">
        <f>IF(ISBLANK($B53),"",VLOOKUP($B53,Teilnehmer!$B$4:$K$199,9,0))</f>
        <v>-</v>
      </c>
      <c r="K53" s="180" t="str">
        <f>IF(ISBLANK($B53),"",VLOOKUP($B53,Teilnehmer!$B$4:$K$199,10,0))</f>
        <v>Citroën Saxo VTS</v>
      </c>
      <c r="L53" s="212"/>
      <c r="M53" s="226">
        <f t="shared" si="1"/>
        <v>47</v>
      </c>
      <c r="N53" s="115" t="str">
        <f>IF(ISBLANK($B53),"",VLOOKUP($B53,'Eingabe Zeiten'!CK:DJ,2,0))</f>
        <v>11:42:4,44</v>
      </c>
      <c r="O53" s="116" t="str">
        <f>IF(ISBLANK($B53),"",VLOOKUP($B53,'Eingabe Zeiten'!CK:DJ,3,0))</f>
        <v>11:47:45,77</v>
      </c>
      <c r="P53" s="279">
        <f t="shared" si="2"/>
        <v>3.9505787037036333E-3</v>
      </c>
      <c r="Q53" s="132" t="str">
        <f>IF(ISBLANK($B53),"",VLOOKUP($B53,'Eingabe Zeiten'!CK:DJ,4,0))</f>
        <v>0:0:0,0</v>
      </c>
      <c r="R53" s="117" t="str">
        <f t="shared" si="3"/>
        <v/>
      </c>
      <c r="S53" s="115" t="str">
        <f>IF(ISBLANK($B53),"",VLOOKUP($B53,'Eingabe Zeiten'!CK:DJ,6,0))</f>
        <v>12:44:39,79</v>
      </c>
      <c r="T53" s="116" t="str">
        <f>IF(ISBLANK($B53),"",VLOOKUP($B53,'Eingabe Zeiten'!CK:DJ,7,0))</f>
        <v>12:51:15,48</v>
      </c>
      <c r="U53" s="279">
        <f t="shared" si="4"/>
        <v>4.579745370370425E-3</v>
      </c>
      <c r="V53" s="132" t="str">
        <f>IF(ISBLANK($B53),"",VLOOKUP($B53,'Eingabe Zeiten'!CK:DJ,8,0))</f>
        <v>0:0:0,0</v>
      </c>
      <c r="W53" s="117" t="str">
        <f t="shared" si="5"/>
        <v/>
      </c>
      <c r="X53" s="115" t="str">
        <f>IF(ISBLANK($B53),"",VLOOKUP($B53,'Eingabe Zeiten'!CK:DJ,10,0))</f>
        <v>13:56:17,58</v>
      </c>
      <c r="Y53" s="116" t="str">
        <f>IF(ISBLANK($B53),"",VLOOKUP($B53,'Eingabe Zeiten'!CK:DJ,11,0))</f>
        <v>14:1:56,42</v>
      </c>
      <c r="Z53" s="279">
        <f t="shared" si="6"/>
        <v>3.9217592592591943E-3</v>
      </c>
      <c r="AA53" s="132" t="str">
        <f>IF(ISBLANK($B53),"",VLOOKUP($B53,'Eingabe Zeiten'!CK:DJ,12,0))</f>
        <v>0:0:0,0</v>
      </c>
      <c r="AB53" s="117" t="str">
        <f t="shared" si="7"/>
        <v/>
      </c>
      <c r="AC53" s="115" t="str">
        <f>IF(ISBLANK($B53),"",VLOOKUP($B53,'Eingabe Zeiten'!CK:DJ,14,0))</f>
        <v>15:20:0,88</v>
      </c>
      <c r="AD53" s="116" t="str">
        <f>IF(ISBLANK($B53),"",VLOOKUP($B53,'Eingabe Zeiten'!CK:DJ,15,0))</f>
        <v>15:26:19,59</v>
      </c>
      <c r="AE53" s="279">
        <f t="shared" si="8"/>
        <v>4.3832175925925254E-3</v>
      </c>
      <c r="AF53" s="132" t="str">
        <f>IF(ISBLANK($B53),"",VLOOKUP($B53,'Eingabe Zeiten'!CK:DJ,16,0))</f>
        <v>0:0:0,0</v>
      </c>
      <c r="AG53" s="117" t="str">
        <f t="shared" si="9"/>
        <v/>
      </c>
      <c r="AH53" s="115" t="str">
        <f>IF(ISBLANK($B53),"",VLOOKUP($B53,'Eingabe Zeiten'!CK:DJ,18,0))</f>
        <v>15:52:5,56</v>
      </c>
      <c r="AI53" s="116" t="str">
        <f>IF(ISBLANK($B53),"",VLOOKUP($B53,'Eingabe Zeiten'!CK:DJ,19,0))</f>
        <v>15:57:38,62</v>
      </c>
      <c r="AJ53" s="279">
        <f t="shared" si="10"/>
        <v>3.8548611111112185E-3</v>
      </c>
      <c r="AK53" s="132" t="str">
        <f>IF(ISBLANK($B53),"",VLOOKUP($B53,'Eingabe Zeiten'!CK:DJ,20,0))</f>
        <v>0:0:0,0</v>
      </c>
      <c r="AL53" s="117" t="str">
        <f t="shared" si="11"/>
        <v/>
      </c>
      <c r="AM53" s="115" t="str">
        <f>IF(ISBLANK($B53),"",VLOOKUP($B53,'Eingabe Zeiten'!CK:DJ,22,0))</f>
        <v>0:0:0,0</v>
      </c>
      <c r="AN53" s="116" t="str">
        <f>IF(ISBLANK($B53),"",VLOOKUP($B53,'Eingabe Zeiten'!CK:DJ,23,0))</f>
        <v>0:0:0,0</v>
      </c>
      <c r="AO53" s="279">
        <f t="shared" si="16"/>
        <v>0</v>
      </c>
      <c r="AP53" s="132" t="str">
        <f>IF(ISBLANK($B53),"",VLOOKUP($B53,'Eingabe Zeiten'!CK:DJ,24,0))</f>
        <v>0:0:0,0</v>
      </c>
      <c r="AQ53" s="117" t="str">
        <f t="shared" si="13"/>
        <v/>
      </c>
      <c r="AR53" s="136" t="str">
        <f>IF(ISBLANK($B53),"",VLOOKUP($B53,'Eingabe Zeiten'!CK:DJ,26,0))</f>
        <v>0:0:0,0</v>
      </c>
      <c r="AS53" s="213"/>
      <c r="AT53" s="279">
        <f t="shared" si="18"/>
        <v>2.0690162037036997E-2</v>
      </c>
      <c r="AU53" s="139">
        <f t="shared" si="19"/>
        <v>0</v>
      </c>
      <c r="AV53" s="224">
        <f t="shared" si="17"/>
        <v>2.0690162037036997E-2</v>
      </c>
    </row>
    <row r="54" spans="2:48" s="214" customFormat="1" ht="27.75" customHeight="1">
      <c r="B54" s="118">
        <v>48</v>
      </c>
      <c r="C54" s="275">
        <f>IF(ISBLANK($B54),"",VLOOKUP($B54,Teilnehmer!$B$4:$K$199,2,0))</f>
        <v>2</v>
      </c>
      <c r="D54" s="276">
        <f>IF(ISBLANK($B54),"",VLOOKUP($B54,Teilnehmer!$B$4:$K$199,3,0))</f>
        <v>8</v>
      </c>
      <c r="E54" s="93" t="str">
        <f>IF(ISBLANK($B54),"",VLOOKUP($B54,Teilnehmer!$B$4:$K$199,4,0))</f>
        <v>Griesdorn Sebastian</v>
      </c>
      <c r="F54" s="285">
        <f>IF(ISBLANK($B54),"",VLOOKUP($B54,Teilnehmer!$B$4:$K$199,5,0))</f>
        <v>15626</v>
      </c>
      <c r="G54" s="288" t="str">
        <f>IF(ISBLANK($B54),"",VLOOKUP($B54,Teilnehmer!$B$4:$K$199,6,0))</f>
        <v>BG Rallyesport</v>
      </c>
      <c r="H54" s="93" t="str">
        <f>IF(ISBLANK($B54),"",VLOOKUP($B54,Teilnehmer!$B$4:$K$199,7,0))</f>
        <v>Bitsch Marco</v>
      </c>
      <c r="I54" s="285">
        <f>IF(ISBLANK($B54),"",VLOOKUP($B54,Teilnehmer!$B$4:$K$199,8,0))</f>
        <v>16561</v>
      </c>
      <c r="J54" s="289" t="str">
        <f>IF(ISBLANK($B54),"",VLOOKUP($B54,Teilnehmer!$B$4:$K$199,9,0))</f>
        <v>BG Rallyesport</v>
      </c>
      <c r="K54" s="180" t="str">
        <f>IF(ISBLANK($B54),"",VLOOKUP($B54,Teilnehmer!$B$4:$K$199,10,0))</f>
        <v>Honda Civic</v>
      </c>
      <c r="L54" s="212"/>
      <c r="M54" s="226">
        <f t="shared" si="1"/>
        <v>48</v>
      </c>
      <c r="N54" s="115" t="str">
        <f>IF(ISBLANK($B54),"",VLOOKUP($B54,'Eingabe Zeiten'!CK:DJ,2,0))</f>
        <v>11:43:53,0</v>
      </c>
      <c r="O54" s="116" t="str">
        <f>IF(ISBLANK($B54),"",VLOOKUP($B54,'Eingabe Zeiten'!CK:DJ,3,0))</f>
        <v>11:49:38,4</v>
      </c>
      <c r="P54" s="279">
        <f t="shared" si="2"/>
        <v>3.9976851851851736E-3</v>
      </c>
      <c r="Q54" s="132" t="str">
        <f>IF(ISBLANK($B54),"",VLOOKUP($B54,'Eingabe Zeiten'!CK:DJ,4,0))</f>
        <v>0:0:0,0</v>
      </c>
      <c r="R54" s="117" t="str">
        <f t="shared" si="3"/>
        <v/>
      </c>
      <c r="S54" s="115" t="str">
        <f>IF(ISBLANK($B54),"",VLOOKUP($B54,'Eingabe Zeiten'!CK:DJ,6,0))</f>
        <v>12:44:59,5</v>
      </c>
      <c r="T54" s="116" t="str">
        <f>IF(ISBLANK($B54),"",VLOOKUP($B54,'Eingabe Zeiten'!CK:DJ,7,0))</f>
        <v>12:51:21,74</v>
      </c>
      <c r="U54" s="279">
        <f t="shared" si="4"/>
        <v>4.4240740740740803E-3</v>
      </c>
      <c r="V54" s="132" t="str">
        <f>IF(ISBLANK($B54),"",VLOOKUP($B54,'Eingabe Zeiten'!CK:DJ,8,0))</f>
        <v>0:0:0,0</v>
      </c>
      <c r="W54" s="117" t="str">
        <f t="shared" si="5"/>
        <v/>
      </c>
      <c r="X54" s="115" t="str">
        <f>IF(ISBLANK($B54),"",VLOOKUP($B54,'Eingabe Zeiten'!CK:DJ,10,0))</f>
        <v>13:56:48,73</v>
      </c>
      <c r="Y54" s="116" t="str">
        <f>IF(ISBLANK($B54),"",VLOOKUP($B54,'Eingabe Zeiten'!CK:DJ,11,0))</f>
        <v>14:2:27,52</v>
      </c>
      <c r="Z54" s="279">
        <f t="shared" si="6"/>
        <v>3.9211805555555701E-3</v>
      </c>
      <c r="AA54" s="132" t="str">
        <f>IF(ISBLANK($B54),"",VLOOKUP($B54,'Eingabe Zeiten'!CK:DJ,12,0))</f>
        <v>0:0:0,0</v>
      </c>
      <c r="AB54" s="117" t="str">
        <f t="shared" si="7"/>
        <v/>
      </c>
      <c r="AC54" s="115" t="str">
        <f>IF(ISBLANK($B54),"",VLOOKUP($B54,'Eingabe Zeiten'!CK:DJ,14,0))</f>
        <v>15:20:19,69</v>
      </c>
      <c r="AD54" s="116" t="str">
        <f>IF(ISBLANK($B54),"",VLOOKUP($B54,'Eingabe Zeiten'!CK:DJ,15,0))</f>
        <v>15:26:31,17</v>
      </c>
      <c r="AE54" s="279">
        <f t="shared" si="8"/>
        <v>4.2995370370370045E-3</v>
      </c>
      <c r="AF54" s="132" t="str">
        <f>IF(ISBLANK($B54),"",VLOOKUP($B54,'Eingabe Zeiten'!CK:DJ,16,0))</f>
        <v>0:0:0,0</v>
      </c>
      <c r="AG54" s="117" t="str">
        <f t="shared" si="9"/>
        <v/>
      </c>
      <c r="AH54" s="115" t="str">
        <f>IF(ISBLANK($B54),"",VLOOKUP($B54,'Eingabe Zeiten'!CK:DJ,18,0))</f>
        <v>15:52:43,40</v>
      </c>
      <c r="AI54" s="116" t="str">
        <f>IF(ISBLANK($B54),"",VLOOKUP($B54,'Eingabe Zeiten'!CK:DJ,19,0))</f>
        <v>15:58:16,87</v>
      </c>
      <c r="AJ54" s="279">
        <f t="shared" si="10"/>
        <v>3.8596064814814257E-3</v>
      </c>
      <c r="AK54" s="132" t="str">
        <f>IF(ISBLANK($B54),"",VLOOKUP($B54,'Eingabe Zeiten'!CK:DJ,20,0))</f>
        <v>0:0:0,0</v>
      </c>
      <c r="AL54" s="117" t="str">
        <f t="shared" si="11"/>
        <v/>
      </c>
      <c r="AM54" s="115" t="str">
        <f>IF(ISBLANK($B54),"",VLOOKUP($B54,'Eingabe Zeiten'!CK:DJ,22,0))</f>
        <v>0:0:0,0</v>
      </c>
      <c r="AN54" s="116" t="str">
        <f>IF(ISBLANK($B54),"",VLOOKUP($B54,'Eingabe Zeiten'!CK:DJ,23,0))</f>
        <v>0:0:0,0</v>
      </c>
      <c r="AO54" s="279">
        <f t="shared" si="16"/>
        <v>0</v>
      </c>
      <c r="AP54" s="132" t="str">
        <f>IF(ISBLANK($B54),"",VLOOKUP($B54,'Eingabe Zeiten'!CK:DJ,24,0))</f>
        <v>0:0:0,0</v>
      </c>
      <c r="AQ54" s="117" t="str">
        <f t="shared" si="13"/>
        <v/>
      </c>
      <c r="AR54" s="136" t="str">
        <f>IF(ISBLANK($B54),"",VLOOKUP($B54,'Eingabe Zeiten'!CK:DJ,26,0))</f>
        <v>0:0:0,0</v>
      </c>
      <c r="AS54" s="213"/>
      <c r="AT54" s="279">
        <f t="shared" si="18"/>
        <v>2.0502083333333254E-2</v>
      </c>
      <c r="AU54" s="139">
        <f t="shared" si="19"/>
        <v>0</v>
      </c>
      <c r="AV54" s="224">
        <f t="shared" si="17"/>
        <v>2.0502083333333254E-2</v>
      </c>
    </row>
    <row r="55" spans="2:48" s="214" customFormat="1" ht="27.75" customHeight="1">
      <c r="B55" s="118">
        <v>49</v>
      </c>
      <c r="C55" s="275">
        <f>IF(ISBLANK($B55),"",VLOOKUP($B55,Teilnehmer!$B$4:$K$199,2,0))</f>
        <v>2</v>
      </c>
      <c r="D55" s="276">
        <f>IF(ISBLANK($B55),"",VLOOKUP($B55,Teilnehmer!$B$4:$K$199,3,0))</f>
        <v>8</v>
      </c>
      <c r="E55" s="93" t="str">
        <f>IF(ISBLANK($B55),"",VLOOKUP($B55,Teilnehmer!$B$4:$K$199,4,0))</f>
        <v>Berger Axel</v>
      </c>
      <c r="F55" s="285" t="str">
        <f>IF(ISBLANK($B55),"",VLOOKUP($B55,Teilnehmer!$B$4:$K$199,5,0))</f>
        <v>-</v>
      </c>
      <c r="G55" s="288" t="str">
        <f>IF(ISBLANK($B55),"",VLOOKUP($B55,Teilnehmer!$B$4:$K$199,6,0))</f>
        <v>-</v>
      </c>
      <c r="H55" s="93" t="str">
        <f>IF(ISBLANK($B55),"",VLOOKUP($B55,Teilnehmer!$B$4:$K$199,7,0))</f>
        <v>Berger Marc</v>
      </c>
      <c r="I55" s="285" t="str">
        <f>IF(ISBLANK($B55),"",VLOOKUP($B55,Teilnehmer!$B$4:$K$199,8,0))</f>
        <v>-</v>
      </c>
      <c r="J55" s="289" t="str">
        <f>IF(ISBLANK($B55),"",VLOOKUP($B55,Teilnehmer!$B$4:$K$199,9,0))</f>
        <v>-</v>
      </c>
      <c r="K55" s="180" t="str">
        <f>IF(ISBLANK($B55),"",VLOOKUP($B55,Teilnehmer!$B$4:$K$199,10,0))</f>
        <v>Opel Corsa A</v>
      </c>
      <c r="L55" s="212"/>
      <c r="M55" s="226">
        <f t="shared" si="1"/>
        <v>49</v>
      </c>
      <c r="N55" s="115" t="str">
        <f>IF(ISBLANK($B55),"",VLOOKUP($B55,'Eingabe Zeiten'!CK:DJ,2,0))</f>
        <v>11:44:38,65</v>
      </c>
      <c r="O55" s="116" t="str">
        <f>IF(ISBLANK($B55),"",VLOOKUP($B55,'Eingabe Zeiten'!CK:DJ,3,0))</f>
        <v>11:50:26,2</v>
      </c>
      <c r="P55" s="279">
        <f t="shared" si="2"/>
        <v>4.0225694444444016E-3</v>
      </c>
      <c r="Q55" s="132" t="str">
        <f>IF(ISBLANK($B55),"",VLOOKUP($B55,'Eingabe Zeiten'!CK:DJ,4,0))</f>
        <v>0:0:0,0</v>
      </c>
      <c r="R55" s="117" t="str">
        <f t="shared" si="3"/>
        <v/>
      </c>
      <c r="S55" s="115" t="str">
        <f>IF(ISBLANK($B55),"",VLOOKUP($B55,'Eingabe Zeiten'!CK:DJ,6,0))</f>
        <v>::,</v>
      </c>
      <c r="T55" s="116" t="str">
        <f>IF(ISBLANK($B55),"",VLOOKUP($B55,'Eingabe Zeiten'!CK:DJ,7,0))</f>
        <v>::,</v>
      </c>
      <c r="U55" s="279" t="s">
        <v>287</v>
      </c>
      <c r="V55" s="132" t="str">
        <f>IF(ISBLANK($B55),"",VLOOKUP($B55,'Eingabe Zeiten'!CK:DJ,8,0))</f>
        <v>0:0:0,0</v>
      </c>
      <c r="W55" s="117" t="str">
        <f t="shared" si="5"/>
        <v/>
      </c>
      <c r="X55" s="115" t="str">
        <f>IF(ISBLANK($B55),"",VLOOKUP($B55,'Eingabe Zeiten'!CK:DJ,10,0))</f>
        <v>::,</v>
      </c>
      <c r="Y55" s="116" t="str">
        <f>IF(ISBLANK($B55),"",VLOOKUP($B55,'Eingabe Zeiten'!CK:DJ,11,0))</f>
        <v>::,</v>
      </c>
      <c r="Z55" s="279" t="s">
        <v>287</v>
      </c>
      <c r="AA55" s="132" t="str">
        <f>IF(ISBLANK($B55),"",VLOOKUP($B55,'Eingabe Zeiten'!CK:DJ,12,0))</f>
        <v>0:0:0,0</v>
      </c>
      <c r="AB55" s="117" t="str">
        <f t="shared" si="7"/>
        <v/>
      </c>
      <c r="AC55" s="115" t="str">
        <f>IF(ISBLANK($B55),"",VLOOKUP($B55,'Eingabe Zeiten'!CK:DJ,14,0))</f>
        <v>::,</v>
      </c>
      <c r="AD55" s="116" t="str">
        <f>IF(ISBLANK($B55),"",VLOOKUP($B55,'Eingabe Zeiten'!CK:DJ,15,0))</f>
        <v>::,</v>
      </c>
      <c r="AE55" s="279" t="s">
        <v>287</v>
      </c>
      <c r="AF55" s="132" t="str">
        <f>IF(ISBLANK($B55),"",VLOOKUP($B55,'Eingabe Zeiten'!CK:DJ,16,0))</f>
        <v>0:0:0,0</v>
      </c>
      <c r="AG55" s="117" t="str">
        <f t="shared" si="9"/>
        <v/>
      </c>
      <c r="AH55" s="115" t="str">
        <f>IF(ISBLANK($B55),"",VLOOKUP($B55,'Eingabe Zeiten'!CK:DJ,18,0))</f>
        <v>::,</v>
      </c>
      <c r="AI55" s="116" t="str">
        <f>IF(ISBLANK($B55),"",VLOOKUP($B55,'Eingabe Zeiten'!CK:DJ,19,0))</f>
        <v>::,</v>
      </c>
      <c r="AJ55" s="279" t="s">
        <v>287</v>
      </c>
      <c r="AK55" s="132" t="str">
        <f>IF(ISBLANK($B55),"",VLOOKUP($B55,'Eingabe Zeiten'!CK:DJ,20,0))</f>
        <v>0:0:0,0</v>
      </c>
      <c r="AL55" s="117" t="str">
        <f t="shared" si="11"/>
        <v/>
      </c>
      <c r="AM55" s="115" t="str">
        <f>IF(ISBLANK($B55),"",VLOOKUP($B55,'Eingabe Zeiten'!CK:DJ,22,0))</f>
        <v>0:0:0,0</v>
      </c>
      <c r="AN55" s="116" t="str">
        <f>IF(ISBLANK($B55),"",VLOOKUP($B55,'Eingabe Zeiten'!CK:DJ,23,0))</f>
        <v>0:0:0,0</v>
      </c>
      <c r="AO55" s="279">
        <f t="shared" si="16"/>
        <v>0</v>
      </c>
      <c r="AP55" s="132" t="str">
        <f>IF(ISBLANK($B55),"",VLOOKUP($B55,'Eingabe Zeiten'!CK:DJ,24,0))</f>
        <v>0:0:0,0</v>
      </c>
      <c r="AQ55" s="117" t="str">
        <f t="shared" si="13"/>
        <v/>
      </c>
      <c r="AR55" s="136" t="str">
        <f>IF(ISBLANK($B55),"",VLOOKUP($B55,'Eingabe Zeiten'!CK:DJ,26,0))</f>
        <v>0:0:0,0</v>
      </c>
      <c r="AS55" s="213"/>
      <c r="AT55" s="279" t="s">
        <v>287</v>
      </c>
      <c r="AU55" s="139">
        <f t="shared" si="19"/>
        <v>0</v>
      </c>
      <c r="AV55" s="224" t="s">
        <v>287</v>
      </c>
    </row>
    <row r="56" spans="2:48" s="214" customFormat="1" ht="27.75" customHeight="1">
      <c r="B56" s="118">
        <v>50</v>
      </c>
      <c r="C56" s="275">
        <f>IF(ISBLANK($B56),"",VLOOKUP($B56,Teilnehmer!$B$4:$K$199,2,0))</f>
        <v>2</v>
      </c>
      <c r="D56" s="276">
        <f>IF(ISBLANK($B56),"",VLOOKUP($B56,Teilnehmer!$B$4:$K$199,3,0))</f>
        <v>8</v>
      </c>
      <c r="E56" s="93" t="str">
        <f>IF(ISBLANK($B56),"",VLOOKUP($B56,Teilnehmer!$B$4:$K$199,4,0))</f>
        <v>Werner Harald</v>
      </c>
      <c r="F56" s="285">
        <f>IF(ISBLANK($B56),"",VLOOKUP($B56,Teilnehmer!$B$4:$K$199,5,0))</f>
        <v>20275</v>
      </c>
      <c r="G56" s="288" t="str">
        <f>IF(ISBLANK($B56),"",VLOOKUP($B56,Teilnehmer!$B$4:$K$199,6,0))</f>
        <v>RST Mittelfranken</v>
      </c>
      <c r="H56" s="93" t="str">
        <f>IF(ISBLANK($B56),"",VLOOKUP($B56,Teilnehmer!$B$4:$K$199,7,0))</f>
        <v>Bratfisch-Beltz Thomas</v>
      </c>
      <c r="I56" s="285">
        <f>IF(ISBLANK($B56),"",VLOOKUP($B56,Teilnehmer!$B$4:$K$199,8,0))</f>
        <v>40075</v>
      </c>
      <c r="J56" s="289" t="str">
        <f>IF(ISBLANK($B56),"",VLOOKUP($B56,Teilnehmer!$B$4:$K$199,9,0))</f>
        <v>MSC Berg</v>
      </c>
      <c r="K56" s="180" t="str">
        <f>IF(ISBLANK($B56),"",VLOOKUP($B56,Teilnehmer!$B$4:$K$199,10,0))</f>
        <v>Mitsubishi Colt</v>
      </c>
      <c r="L56" s="212"/>
      <c r="M56" s="226">
        <f t="shared" si="1"/>
        <v>50</v>
      </c>
      <c r="N56" s="115" t="str">
        <f>IF(ISBLANK($B56),"",VLOOKUP($B56,'Eingabe Zeiten'!CK:DJ,2,0))</f>
        <v>11:45:4,40</v>
      </c>
      <c r="O56" s="116" t="str">
        <f>IF(ISBLANK($B56),"",VLOOKUP($B56,'Eingabe Zeiten'!CK:DJ,3,0))</f>
        <v>11:51:15,98</v>
      </c>
      <c r="P56" s="279">
        <f t="shared" si="2"/>
        <v>4.3006944444444195E-3</v>
      </c>
      <c r="Q56" s="132" t="str">
        <f>IF(ISBLANK($B56),"",VLOOKUP($B56,'Eingabe Zeiten'!CK:DJ,4,0))</f>
        <v>0:0:0,0</v>
      </c>
      <c r="R56" s="117" t="str">
        <f t="shared" si="3"/>
        <v/>
      </c>
      <c r="S56" s="115" t="str">
        <f>IF(ISBLANK($B56),"",VLOOKUP($B56,'Eingabe Zeiten'!CK:DJ,6,0))</f>
        <v>12:45:15,32</v>
      </c>
      <c r="T56" s="116" t="str">
        <f>IF(ISBLANK($B56),"",VLOOKUP($B56,'Eingabe Zeiten'!CK:DJ,7,0))</f>
        <v>12:51:58,85</v>
      </c>
      <c r="U56" s="279">
        <f t="shared" si="4"/>
        <v>4.670486111111094E-3</v>
      </c>
      <c r="V56" s="132" t="str">
        <f>IF(ISBLANK($B56),"",VLOOKUP($B56,'Eingabe Zeiten'!CK:DJ,8,0))</f>
        <v>0:0:0,0</v>
      </c>
      <c r="W56" s="117" t="str">
        <f t="shared" si="5"/>
        <v/>
      </c>
      <c r="X56" s="115" t="str">
        <f>IF(ISBLANK($B56),"",VLOOKUP($B56,'Eingabe Zeiten'!CK:DJ,10,0))</f>
        <v>13:57:20,7</v>
      </c>
      <c r="Y56" s="116" t="str">
        <f>IF(ISBLANK($B56),"",VLOOKUP($B56,'Eingabe Zeiten'!CK:DJ,11,0))</f>
        <v>14:3:23,0</v>
      </c>
      <c r="Z56" s="279">
        <f t="shared" si="6"/>
        <v>4.1932870370370301E-3</v>
      </c>
      <c r="AA56" s="132" t="str">
        <f>IF(ISBLANK($B56),"",VLOOKUP($B56,'Eingabe Zeiten'!CK:DJ,12,0))</f>
        <v>0:0:0,0</v>
      </c>
      <c r="AB56" s="117" t="str">
        <f t="shared" si="7"/>
        <v/>
      </c>
      <c r="AC56" s="115" t="str">
        <f>IF(ISBLANK($B56),"",VLOOKUP($B56,'Eingabe Zeiten'!CK:DJ,14,0))</f>
        <v>15:20:39,93</v>
      </c>
      <c r="AD56" s="116" t="str">
        <f>IF(ISBLANK($B56),"",VLOOKUP($B56,'Eingabe Zeiten'!CK:DJ,15,0))</f>
        <v>15:27:12,98</v>
      </c>
      <c r="AE56" s="279">
        <f t="shared" si="8"/>
        <v>4.5491898148148913E-3</v>
      </c>
      <c r="AF56" s="132" t="str">
        <f>IF(ISBLANK($B56),"",VLOOKUP($B56,'Eingabe Zeiten'!CK:DJ,16,0))</f>
        <v>0:0:0,0</v>
      </c>
      <c r="AG56" s="117" t="str">
        <f t="shared" si="9"/>
        <v/>
      </c>
      <c r="AH56" s="115" t="str">
        <f>IF(ISBLANK($B56),"",VLOOKUP($B56,'Eingabe Zeiten'!CK:DJ,18,0))</f>
        <v>15:53:36,71</v>
      </c>
      <c r="AI56" s="116" t="str">
        <f>IF(ISBLANK($B56),"",VLOOKUP($B56,'Eingabe Zeiten'!CK:DJ,19,0))</f>
        <v>15:59:31,90</v>
      </c>
      <c r="AJ56" s="279">
        <f t="shared" si="10"/>
        <v>4.1109953703704072E-3</v>
      </c>
      <c r="AK56" s="132" t="str">
        <f>IF(ISBLANK($B56),"",VLOOKUP($B56,'Eingabe Zeiten'!CK:DJ,20,0))</f>
        <v>0:0:0,0</v>
      </c>
      <c r="AL56" s="117" t="str">
        <f t="shared" si="11"/>
        <v/>
      </c>
      <c r="AM56" s="115" t="str">
        <f>IF(ISBLANK($B56),"",VLOOKUP($B56,'Eingabe Zeiten'!CK:DJ,22,0))</f>
        <v>0:0:0,0</v>
      </c>
      <c r="AN56" s="116" t="str">
        <f>IF(ISBLANK($B56),"",VLOOKUP($B56,'Eingabe Zeiten'!CK:DJ,23,0))</f>
        <v>0:0:0,0</v>
      </c>
      <c r="AO56" s="279">
        <f t="shared" si="16"/>
        <v>0</v>
      </c>
      <c r="AP56" s="132" t="str">
        <f>IF(ISBLANK($B56),"",VLOOKUP($B56,'Eingabe Zeiten'!CK:DJ,24,0))</f>
        <v>0:0:0,0</v>
      </c>
      <c r="AQ56" s="117" t="str">
        <f t="shared" si="13"/>
        <v/>
      </c>
      <c r="AR56" s="136" t="str">
        <f>IF(ISBLANK($B56),"",VLOOKUP($B56,'Eingabe Zeiten'!CK:DJ,26,0))</f>
        <v>0:0:0,0</v>
      </c>
      <c r="AS56" s="213"/>
      <c r="AT56" s="279">
        <f t="shared" si="18"/>
        <v>2.1824652777777842E-2</v>
      </c>
      <c r="AU56" s="139">
        <f t="shared" si="19"/>
        <v>0</v>
      </c>
      <c r="AV56" s="224">
        <f t="shared" si="17"/>
        <v>2.1824652777777842E-2</v>
      </c>
    </row>
    <row r="57" spans="2:48" s="214" customFormat="1" ht="27.75" customHeight="1">
      <c r="B57" s="118">
        <v>51</v>
      </c>
      <c r="C57" s="275">
        <f>IF(ISBLANK($B57),"",VLOOKUP($B57,Teilnehmer!$B$4:$K$199,2,0))</f>
        <v>2</v>
      </c>
      <c r="D57" s="276">
        <f>IF(ISBLANK($B57),"",VLOOKUP($B57,Teilnehmer!$B$4:$K$199,3,0))</f>
        <v>7</v>
      </c>
      <c r="E57" s="93" t="str">
        <f>IF(ISBLANK($B57),"",VLOOKUP($B57,Teilnehmer!$B$4:$K$199,4,0))</f>
        <v>Schützmeier Stefan</v>
      </c>
      <c r="F57" s="285">
        <f>IF(ISBLANK($B57),"",VLOOKUP($B57,Teilnehmer!$B$4:$K$199,5,0))</f>
        <v>16634</v>
      </c>
      <c r="G57" s="288" t="str">
        <f>IF(ISBLANK($B57),"",VLOOKUP($B57,Teilnehmer!$B$4:$K$199,6,0))</f>
        <v>Becker &amp; Bosch Racing Team</v>
      </c>
      <c r="H57" s="93" t="str">
        <f>IF(ISBLANK($B57),"",VLOOKUP($B57,Teilnehmer!$B$4:$K$199,7,0))</f>
        <v>Ritter Susann</v>
      </c>
      <c r="I57" s="285">
        <f>IF(ISBLANK($B57),"",VLOOKUP($B57,Teilnehmer!$B$4:$K$199,8,0))</f>
        <v>16724</v>
      </c>
      <c r="J57" s="289" t="str">
        <f>IF(ISBLANK($B57),"",VLOOKUP($B57,Teilnehmer!$B$4:$K$199,9,0))</f>
        <v>Becker &amp; Bosch Racing Team</v>
      </c>
      <c r="K57" s="180" t="str">
        <f>IF(ISBLANK($B57),"",VLOOKUP($B57,Teilnehmer!$B$4:$K$199,10,0))</f>
        <v>Suzuki Swift GTi</v>
      </c>
      <c r="L57" s="212"/>
      <c r="M57" s="226">
        <f t="shared" si="1"/>
        <v>51</v>
      </c>
      <c r="N57" s="115" t="str">
        <f>IF(ISBLANK($B57),"",VLOOKUP($B57,'Eingabe Zeiten'!CK:DJ,2,0))</f>
        <v>11:47:9,49</v>
      </c>
      <c r="O57" s="116" t="str">
        <f>IF(ISBLANK($B57),"",VLOOKUP($B57,'Eingabe Zeiten'!CK:DJ,3,0))</f>
        <v>11:52:47,46</v>
      </c>
      <c r="P57" s="279">
        <f t="shared" si="2"/>
        <v>3.9116898148148227E-3</v>
      </c>
      <c r="Q57" s="132" t="str">
        <f>IF(ISBLANK($B57),"",VLOOKUP($B57,'Eingabe Zeiten'!CK:DJ,4,0))</f>
        <v>0:0:0,0</v>
      </c>
      <c r="R57" s="117" t="str">
        <f t="shared" si="3"/>
        <v/>
      </c>
      <c r="S57" s="115" t="str">
        <f>IF(ISBLANK($B57),"",VLOOKUP($B57,'Eingabe Zeiten'!CK:DJ,6,0))</f>
        <v>12:45:32,54</v>
      </c>
      <c r="T57" s="116" t="str">
        <f>IF(ISBLANK($B57),"",VLOOKUP($B57,'Eingabe Zeiten'!CK:DJ,7,0))</f>
        <v>12:51:46,73</v>
      </c>
      <c r="U57" s="279">
        <f t="shared" si="4"/>
        <v>4.330902777777812E-3</v>
      </c>
      <c r="V57" s="132" t="str">
        <f>IF(ISBLANK($B57),"",VLOOKUP($B57,'Eingabe Zeiten'!CK:DJ,8,0))</f>
        <v>0:0:0,0</v>
      </c>
      <c r="W57" s="117" t="str">
        <f t="shared" si="5"/>
        <v/>
      </c>
      <c r="X57" s="115" t="str">
        <f>IF(ISBLANK($B57),"",VLOOKUP($B57,'Eingabe Zeiten'!CK:DJ,10,0))</f>
        <v>13:58:9,58</v>
      </c>
      <c r="Y57" s="116" t="str">
        <f>IF(ISBLANK($B57),"",VLOOKUP($B57,'Eingabe Zeiten'!CK:DJ,11,0))</f>
        <v>14:3:38,71</v>
      </c>
      <c r="Z57" s="279">
        <f t="shared" si="6"/>
        <v>3.8093749999998927E-3</v>
      </c>
      <c r="AA57" s="132" t="str">
        <f>IF(ISBLANK($B57),"",VLOOKUP($B57,'Eingabe Zeiten'!CK:DJ,12,0))</f>
        <v>0:0:0,0</v>
      </c>
      <c r="AB57" s="117" t="str">
        <f t="shared" si="7"/>
        <v/>
      </c>
      <c r="AC57" s="115" t="str">
        <f>IF(ISBLANK($B57),"",VLOOKUP($B57,'Eingabe Zeiten'!CK:DJ,14,0))</f>
        <v>15:25:18,27</v>
      </c>
      <c r="AD57" s="116" t="str">
        <f>IF(ISBLANK($B57),"",VLOOKUP($B57,'Eingabe Zeiten'!CK:DJ,15,0))</f>
        <v>15:31:29,55</v>
      </c>
      <c r="AE57" s="279">
        <f t="shared" si="8"/>
        <v>4.2972222222222856E-3</v>
      </c>
      <c r="AF57" s="132" t="str">
        <f>IF(ISBLANK($B57),"",VLOOKUP($B57,'Eingabe Zeiten'!CK:DJ,16,0))</f>
        <v>0:0:0,0</v>
      </c>
      <c r="AG57" s="117" t="str">
        <f t="shared" si="9"/>
        <v/>
      </c>
      <c r="AH57" s="115" t="str">
        <f>IF(ISBLANK($B57),"",VLOOKUP($B57,'Eingabe Zeiten'!CK:DJ,18,0))</f>
        <v>15:56:45,70</v>
      </c>
      <c r="AI57" s="116" t="str">
        <f>IF(ISBLANK($B57),"",VLOOKUP($B57,'Eingabe Zeiten'!CK:DJ,19,0))</f>
        <v>16:2:14,33</v>
      </c>
      <c r="AJ57" s="279">
        <f t="shared" si="10"/>
        <v>3.8035879629630953E-3</v>
      </c>
      <c r="AK57" s="132" t="str">
        <f>IF(ISBLANK($B57),"",VLOOKUP($B57,'Eingabe Zeiten'!CK:DJ,20,0))</f>
        <v>0:0:0,0</v>
      </c>
      <c r="AL57" s="117" t="str">
        <f t="shared" si="11"/>
        <v/>
      </c>
      <c r="AM57" s="115" t="str">
        <f>IF(ISBLANK($B57),"",VLOOKUP($B57,'Eingabe Zeiten'!CK:DJ,22,0))</f>
        <v>0:0:0,0</v>
      </c>
      <c r="AN57" s="116" t="str">
        <f>IF(ISBLANK($B57),"",VLOOKUP($B57,'Eingabe Zeiten'!CK:DJ,23,0))</f>
        <v>0:0:0,0</v>
      </c>
      <c r="AO57" s="279">
        <f t="shared" si="16"/>
        <v>0</v>
      </c>
      <c r="AP57" s="132" t="str">
        <f>IF(ISBLANK($B57),"",VLOOKUP($B57,'Eingabe Zeiten'!CK:DJ,24,0))</f>
        <v>0:0:0,0</v>
      </c>
      <c r="AQ57" s="117" t="str">
        <f t="shared" si="13"/>
        <v/>
      </c>
      <c r="AR57" s="136" t="str">
        <f>IF(ISBLANK($B57),"",VLOOKUP($B57,'Eingabe Zeiten'!CK:DJ,26,0))</f>
        <v>0:0:0,0</v>
      </c>
      <c r="AS57" s="213"/>
      <c r="AT57" s="279">
        <f t="shared" si="18"/>
        <v>2.0152777777777908E-2</v>
      </c>
      <c r="AU57" s="139">
        <f t="shared" si="19"/>
        <v>0</v>
      </c>
      <c r="AV57" s="224">
        <f t="shared" si="17"/>
        <v>2.0152777777777908E-2</v>
      </c>
    </row>
    <row r="58" spans="2:48" s="214" customFormat="1" ht="27.75" customHeight="1">
      <c r="B58" s="118">
        <v>52</v>
      </c>
      <c r="C58" s="275">
        <f>IF(ISBLANK($B58),"",VLOOKUP($B58,Teilnehmer!$B$4:$K$199,2,0))</f>
        <v>2</v>
      </c>
      <c r="D58" s="276">
        <f>IF(ISBLANK($B58),"",VLOOKUP($B58,Teilnehmer!$B$4:$K$199,3,0))</f>
        <v>7</v>
      </c>
      <c r="E58" s="93" t="str">
        <f>IF(ISBLANK($B58),"",VLOOKUP($B58,Teilnehmer!$B$4:$K$199,4,0))</f>
        <v>Thiel Rainer</v>
      </c>
      <c r="F58" s="285">
        <f>IF(ISBLANK($B58),"",VLOOKUP($B58,Teilnehmer!$B$4:$K$199,5,0))</f>
        <v>12291</v>
      </c>
      <c r="G58" s="288" t="str">
        <f>IF(ISBLANK($B58),"",VLOOKUP($B58,Teilnehmer!$B$4:$K$199,6,0))</f>
        <v>MSC Jura</v>
      </c>
      <c r="H58" s="93" t="str">
        <f>IF(ISBLANK($B58),"",VLOOKUP($B58,Teilnehmer!$B$4:$K$199,7,0))</f>
        <v>Thiel Daniel</v>
      </c>
      <c r="I58" s="285">
        <f>IF(ISBLANK($B58),"",VLOOKUP($B58,Teilnehmer!$B$4:$K$199,8,0))</f>
        <v>15785</v>
      </c>
      <c r="J58" s="289" t="str">
        <f>IF(ISBLANK($B58),"",VLOOKUP($B58,Teilnehmer!$B$4:$K$199,9,0))</f>
        <v>-</v>
      </c>
      <c r="K58" s="180" t="str">
        <f>IF(ISBLANK($B58),"",VLOOKUP($B58,Teilnehmer!$B$4:$K$199,10,0))</f>
        <v>FIAT Panda</v>
      </c>
      <c r="L58" s="212"/>
      <c r="M58" s="226">
        <f t="shared" si="1"/>
        <v>52</v>
      </c>
      <c r="N58" s="115" t="str">
        <f>IF(ISBLANK($B58),"",VLOOKUP($B58,'Eingabe Zeiten'!CK:DJ,2,0))</f>
        <v>11:47:51,4</v>
      </c>
      <c r="O58" s="116" t="str">
        <f>IF(ISBLANK($B58),"",VLOOKUP($B58,'Eingabe Zeiten'!CK:DJ,3,0))</f>
        <v>11:54:1,30</v>
      </c>
      <c r="P58" s="279">
        <f t="shared" si="2"/>
        <v>4.2812500000000142E-3</v>
      </c>
      <c r="Q58" s="132" t="str">
        <f>IF(ISBLANK($B58),"",VLOOKUP($B58,'Eingabe Zeiten'!CK:DJ,4,0))</f>
        <v>0:0:0,0</v>
      </c>
      <c r="R58" s="117" t="str">
        <f t="shared" si="3"/>
        <v/>
      </c>
      <c r="S58" s="115" t="str">
        <f>IF(ISBLANK($B58),"",VLOOKUP($B58,'Eingabe Zeiten'!CK:DJ,6,0))</f>
        <v>12:45:47,47</v>
      </c>
      <c r="T58" s="116" t="str">
        <f>IF(ISBLANK($B58),"",VLOOKUP($B58,'Eingabe Zeiten'!CK:DJ,7,0))</f>
        <v>12:52:23,81</v>
      </c>
      <c r="U58" s="279">
        <f t="shared" si="4"/>
        <v>4.5872685185184281E-3</v>
      </c>
      <c r="V58" s="132" t="str">
        <f>IF(ISBLANK($B58),"",VLOOKUP($B58,'Eingabe Zeiten'!CK:DJ,8,0))</f>
        <v>0:0:0,0</v>
      </c>
      <c r="W58" s="117" t="str">
        <f t="shared" si="5"/>
        <v/>
      </c>
      <c r="X58" s="115" t="str">
        <f>IF(ISBLANK($B58),"",VLOOKUP($B58,'Eingabe Zeiten'!CK:DJ,10,0))</f>
        <v>14:0:0,27</v>
      </c>
      <c r="Y58" s="116" t="str">
        <f>IF(ISBLANK($B58),"",VLOOKUP($B58,'Eingabe Zeiten'!CK:DJ,11,0))</f>
        <v>14:6:6,63</v>
      </c>
      <c r="Z58" s="279">
        <f t="shared" si="6"/>
        <v>4.2402777777778011E-3</v>
      </c>
      <c r="AA58" s="132" t="str">
        <f>IF(ISBLANK($B58),"",VLOOKUP($B58,'Eingabe Zeiten'!CK:DJ,12,0))</f>
        <v>0:0:0,0</v>
      </c>
      <c r="AB58" s="117" t="str">
        <f t="shared" si="7"/>
        <v/>
      </c>
      <c r="AC58" s="115" t="str">
        <f>IF(ISBLANK($B58),"",VLOOKUP($B58,'Eingabe Zeiten'!CK:DJ,14,0))</f>
        <v>::,</v>
      </c>
      <c r="AD58" s="116" t="str">
        <f>IF(ISBLANK($B58),"",VLOOKUP($B58,'Eingabe Zeiten'!CK:DJ,15,0))</f>
        <v>::,</v>
      </c>
      <c r="AE58" s="305">
        <v>1.0416666666666666E-2</v>
      </c>
      <c r="AF58" s="132" t="str">
        <f>IF(ISBLANK($B58),"",VLOOKUP($B58,'Eingabe Zeiten'!CK:DJ,16,0))</f>
        <v>0:0:0,0</v>
      </c>
      <c r="AG58" s="117" t="str">
        <f t="shared" si="9"/>
        <v/>
      </c>
      <c r="AH58" s="115" t="str">
        <f>IF(ISBLANK($B58),"",VLOOKUP($B58,'Eingabe Zeiten'!CK:DJ,18,0))</f>
        <v>::,</v>
      </c>
      <c r="AI58" s="116" t="str">
        <f>IF(ISBLANK($B58),"",VLOOKUP($B58,'Eingabe Zeiten'!CK:DJ,19,0))</f>
        <v>::,</v>
      </c>
      <c r="AJ58" s="312">
        <v>1.0416666666666666E-2</v>
      </c>
      <c r="AK58" s="132" t="str">
        <f>IF(ISBLANK($B58),"",VLOOKUP($B58,'Eingabe Zeiten'!CK:DJ,20,0))</f>
        <v>0:0:0,0</v>
      </c>
      <c r="AL58" s="117" t="str">
        <f t="shared" si="11"/>
        <v/>
      </c>
      <c r="AM58" s="115" t="str">
        <f>IF(ISBLANK($B58),"",VLOOKUP($B58,'Eingabe Zeiten'!CK:DJ,22,0))</f>
        <v>0:0:0,0</v>
      </c>
      <c r="AN58" s="116" t="str">
        <f>IF(ISBLANK($B58),"",VLOOKUP($B58,'Eingabe Zeiten'!CK:DJ,23,0))</f>
        <v>0:0:0,0</v>
      </c>
      <c r="AO58" s="279">
        <f t="shared" si="16"/>
        <v>0</v>
      </c>
      <c r="AP58" s="132" t="str">
        <f>IF(ISBLANK($B58),"",VLOOKUP($B58,'Eingabe Zeiten'!CK:DJ,24,0))</f>
        <v>0:0:0,0</v>
      </c>
      <c r="AQ58" s="117" t="str">
        <f t="shared" si="13"/>
        <v/>
      </c>
      <c r="AR58" s="136" t="str">
        <f>IF(ISBLANK($B58),"",VLOOKUP($B58,'Eingabe Zeiten'!CK:DJ,26,0))</f>
        <v>0:0:0,0</v>
      </c>
      <c r="AS58" s="213"/>
      <c r="AT58" s="279">
        <f t="shared" si="18"/>
        <v>3.3942129629629572E-2</v>
      </c>
      <c r="AU58" s="139">
        <f t="shared" si="19"/>
        <v>0</v>
      </c>
      <c r="AV58" s="224">
        <f t="shared" si="17"/>
        <v>3.3942129629629572E-2</v>
      </c>
    </row>
    <row r="59" spans="2:48" s="214" customFormat="1" ht="27.75" customHeight="1">
      <c r="B59" s="118">
        <v>53</v>
      </c>
      <c r="C59" s="275">
        <f>IF(ISBLANK($B59),"",VLOOKUP($B59,Teilnehmer!$B$4:$K$199,2,0))</f>
        <v>2</v>
      </c>
      <c r="D59" s="276">
        <f>IF(ISBLANK($B59),"",VLOOKUP($B59,Teilnehmer!$B$4:$K$199,3,0))</f>
        <v>7</v>
      </c>
      <c r="E59" s="93" t="str">
        <f>IF(ISBLANK($B59),"",VLOOKUP($B59,Teilnehmer!$B$4:$K$199,4,0))</f>
        <v>Sarkowski Alfred</v>
      </c>
      <c r="F59" s="285">
        <f>IF(ISBLANK($B59),"",VLOOKUP($B59,Teilnehmer!$B$4:$K$199,5,0))</f>
        <v>16011</v>
      </c>
      <c r="G59" s="288" t="str">
        <f>IF(ISBLANK($B59),"",VLOOKUP($B59,Teilnehmer!$B$4:$K$199,6,0))</f>
        <v>MSC Mamming</v>
      </c>
      <c r="H59" s="93" t="str">
        <f>IF(ISBLANK($B59),"",VLOOKUP($B59,Teilnehmer!$B$4:$K$199,7,0))</f>
        <v>Sollinger Christoph</v>
      </c>
      <c r="I59" s="285">
        <f>IF(ISBLANK($B59),"",VLOOKUP($B59,Teilnehmer!$B$4:$K$199,8,0))</f>
        <v>16631</v>
      </c>
      <c r="J59" s="289" t="str">
        <f>IF(ISBLANK($B59),"",VLOOKUP($B59,Teilnehmer!$B$4:$K$199,9,0))</f>
        <v>Selzer Team Mirskofen</v>
      </c>
      <c r="K59" s="180" t="str">
        <f>IF(ISBLANK($B59),"",VLOOKUP($B59,Teilnehmer!$B$4:$K$199,10,0))</f>
        <v>VW Polo 86 c</v>
      </c>
      <c r="L59" s="212"/>
      <c r="M59" s="226">
        <f t="shared" si="1"/>
        <v>53</v>
      </c>
      <c r="N59" s="115" t="str">
        <f>IF(ISBLANK($B59),"",VLOOKUP($B59,'Eingabe Zeiten'!CK:DJ,2,0))</f>
        <v>11:48:36,41</v>
      </c>
      <c r="O59" s="116" t="str">
        <f>IF(ISBLANK($B59),"",VLOOKUP($B59,'Eingabe Zeiten'!CK:DJ,3,0))</f>
        <v>11:54:58,16</v>
      </c>
      <c r="P59" s="279">
        <f t="shared" si="2"/>
        <v>4.4184027777777746E-3</v>
      </c>
      <c r="Q59" s="132" t="str">
        <f>IF(ISBLANK($B59),"",VLOOKUP($B59,'Eingabe Zeiten'!CK:DJ,4,0))</f>
        <v>0:0:0,0</v>
      </c>
      <c r="R59" s="117" t="str">
        <f t="shared" si="3"/>
        <v/>
      </c>
      <c r="S59" s="115" t="str">
        <f>IF(ISBLANK($B59),"",VLOOKUP($B59,'Eingabe Zeiten'!CK:DJ,6,0))</f>
        <v>12:50:30,23</v>
      </c>
      <c r="T59" s="116" t="str">
        <f>IF(ISBLANK($B59),"",VLOOKUP($B59,'Eingabe Zeiten'!CK:DJ,7,0))</f>
        <v>12:57:25,29</v>
      </c>
      <c r="U59" s="279">
        <f t="shared" si="4"/>
        <v>4.8039351851851819E-3</v>
      </c>
      <c r="V59" s="132" t="str">
        <f>IF(ISBLANK($B59),"",VLOOKUP($B59,'Eingabe Zeiten'!CK:DJ,8,0))</f>
        <v>0:0:0,0</v>
      </c>
      <c r="W59" s="117" t="str">
        <f t="shared" si="5"/>
        <v/>
      </c>
      <c r="X59" s="115" t="str">
        <f>IF(ISBLANK($B59),"",VLOOKUP($B59,'Eingabe Zeiten'!CK:DJ,10,0))</f>
        <v>14:1:0,86</v>
      </c>
      <c r="Y59" s="116" t="str">
        <f>IF(ISBLANK($B59),"",VLOOKUP($B59,'Eingabe Zeiten'!CK:DJ,11,0))</f>
        <v>14:7:17,95</v>
      </c>
      <c r="Z59" s="279">
        <f t="shared" si="6"/>
        <v>4.3644675925925691E-3</v>
      </c>
      <c r="AA59" s="132" t="str">
        <f>IF(ISBLANK($B59),"",VLOOKUP($B59,'Eingabe Zeiten'!CK:DJ,12,0))</f>
        <v>0:0:0,0</v>
      </c>
      <c r="AB59" s="117" t="str">
        <f t="shared" si="7"/>
        <v/>
      </c>
      <c r="AC59" s="115" t="str">
        <f>IF(ISBLANK($B59),"",VLOOKUP($B59,'Eingabe Zeiten'!CK:DJ,14,0))</f>
        <v>15:25:37,90</v>
      </c>
      <c r="AD59" s="116" t="str">
        <f>IF(ISBLANK($B59),"",VLOOKUP($B59,'Eingabe Zeiten'!CK:DJ,15,0))</f>
        <v>::,</v>
      </c>
      <c r="AE59" s="305">
        <v>1.0416666666666666E-2</v>
      </c>
      <c r="AF59" s="132" t="str">
        <f>IF(ISBLANK($B59),"",VLOOKUP($B59,'Eingabe Zeiten'!CK:DJ,16,0))</f>
        <v>0:0:0,0</v>
      </c>
      <c r="AG59" s="117" t="str">
        <f t="shared" si="9"/>
        <v/>
      </c>
      <c r="AH59" s="115" t="str">
        <f>IF(ISBLANK($B59),"",VLOOKUP($B59,'Eingabe Zeiten'!CK:DJ,18,0))</f>
        <v>::,</v>
      </c>
      <c r="AI59" s="116" t="str">
        <f>IF(ISBLANK($B59),"",VLOOKUP($B59,'Eingabe Zeiten'!CK:DJ,19,0))</f>
        <v>::,</v>
      </c>
      <c r="AJ59" s="279" t="s">
        <v>287</v>
      </c>
      <c r="AK59" s="132" t="str">
        <f>IF(ISBLANK($B59),"",VLOOKUP($B59,'Eingabe Zeiten'!CK:DJ,20,0))</f>
        <v>0:0:0,0</v>
      </c>
      <c r="AL59" s="117" t="str">
        <f t="shared" si="11"/>
        <v/>
      </c>
      <c r="AM59" s="115" t="str">
        <f>IF(ISBLANK($B59),"",VLOOKUP($B59,'Eingabe Zeiten'!CK:DJ,22,0))</f>
        <v>0:0:0,0</v>
      </c>
      <c r="AN59" s="116" t="str">
        <f>IF(ISBLANK($B59),"",VLOOKUP($B59,'Eingabe Zeiten'!CK:DJ,23,0))</f>
        <v>0:0:0,0</v>
      </c>
      <c r="AO59" s="279">
        <f t="shared" si="16"/>
        <v>0</v>
      </c>
      <c r="AP59" s="132" t="str">
        <f>IF(ISBLANK($B59),"",VLOOKUP($B59,'Eingabe Zeiten'!CK:DJ,24,0))</f>
        <v>0:0:0,0</v>
      </c>
      <c r="AQ59" s="117" t="str">
        <f t="shared" si="13"/>
        <v/>
      </c>
      <c r="AR59" s="136" t="str">
        <f>IF(ISBLANK($B59),"",VLOOKUP($B59,'Eingabe Zeiten'!CK:DJ,26,0))</f>
        <v>0:0:0,0</v>
      </c>
      <c r="AS59" s="213"/>
      <c r="AT59" s="279" t="s">
        <v>287</v>
      </c>
      <c r="AU59" s="139">
        <f t="shared" si="19"/>
        <v>0</v>
      </c>
      <c r="AV59" s="224" t="s">
        <v>287</v>
      </c>
    </row>
    <row r="60" spans="2:48" s="214" customFormat="1" ht="27.75" customHeight="1">
      <c r="B60" s="118">
        <v>54</v>
      </c>
      <c r="C60" s="275">
        <f>IF(ISBLANK($B60),"",VLOOKUP($B60,Teilnehmer!$B$4:$K$199,2,0))</f>
        <v>1</v>
      </c>
      <c r="D60" s="276">
        <f>IF(ISBLANK($B60),"",VLOOKUP($B60,Teilnehmer!$B$4:$K$199,3,0))</f>
        <v>5</v>
      </c>
      <c r="E60" s="93" t="str">
        <f>IF(ISBLANK($B60),"",VLOOKUP($B60,Teilnehmer!$B$4:$K$199,4,0))</f>
        <v>Scheidhammer Alois</v>
      </c>
      <c r="F60" s="285">
        <f>IF(ISBLANK($B60),"",VLOOKUP($B60,Teilnehmer!$B$4:$K$199,5,0))</f>
        <v>15610</v>
      </c>
      <c r="G60" s="288" t="str">
        <f>IF(ISBLANK($B60),"",VLOOKUP($B60,Teilnehmer!$B$4:$K$199,6,0))</f>
        <v>MSC Emmersdorf</v>
      </c>
      <c r="H60" s="93" t="str">
        <f>IF(ISBLANK($B60),"",VLOOKUP($B60,Teilnehmer!$B$4:$K$199,7,0))</f>
        <v>Regner August</v>
      </c>
      <c r="I60" s="285">
        <f>IF(ISBLANK($B60),"",VLOOKUP($B60,Teilnehmer!$B$4:$K$199,8,0))</f>
        <v>15609</v>
      </c>
      <c r="J60" s="289" t="str">
        <f>IF(ISBLANK($B60),"",VLOOKUP($B60,Teilnehmer!$B$4:$K$199,9,0))</f>
        <v>MSC Emmersdorf</v>
      </c>
      <c r="K60" s="180" t="str">
        <f>IF(ISBLANK($B60),"",VLOOKUP($B60,Teilnehmer!$B$4:$K$199,10,0))</f>
        <v>Nissan Z350</v>
      </c>
      <c r="L60" s="212"/>
      <c r="M60" s="226">
        <f t="shared" si="1"/>
        <v>54</v>
      </c>
      <c r="N60" s="115" t="str">
        <f>IF(ISBLANK($B60),"",VLOOKUP($B60,'Eingabe Zeiten'!CK:DJ,2,0))</f>
        <v>11:52:15,47</v>
      </c>
      <c r="O60" s="116" t="str">
        <f>IF(ISBLANK($B60),"",VLOOKUP($B60,'Eingabe Zeiten'!CK:DJ,3,0))</f>
        <v>11:57:44,13</v>
      </c>
      <c r="P60" s="279">
        <f t="shared" si="2"/>
        <v>3.803935185185181E-3</v>
      </c>
      <c r="Q60" s="132" t="str">
        <f>IF(ISBLANK($B60),"",VLOOKUP($B60,'Eingabe Zeiten'!CK:DJ,4,0))</f>
        <v>0:0:0,0</v>
      </c>
      <c r="R60" s="117" t="str">
        <f t="shared" si="3"/>
        <v/>
      </c>
      <c r="S60" s="115" t="str">
        <f>IF(ISBLANK($B60),"",VLOOKUP($B60,'Eingabe Zeiten'!CK:DJ,6,0))</f>
        <v>12:50:58,36</v>
      </c>
      <c r="T60" s="116" t="str">
        <f>IF(ISBLANK($B60),"",VLOOKUP($B60,'Eingabe Zeiten'!CK:DJ,7,0))</f>
        <v>12:57:6,71</v>
      </c>
      <c r="U60" s="279">
        <f t="shared" si="4"/>
        <v>4.2633101851852206E-3</v>
      </c>
      <c r="V60" s="132" t="str">
        <f>IF(ISBLANK($B60),"",VLOOKUP($B60,'Eingabe Zeiten'!CK:DJ,8,0))</f>
        <v>0:0:0,0</v>
      </c>
      <c r="W60" s="117" t="str">
        <f t="shared" si="5"/>
        <v/>
      </c>
      <c r="X60" s="115" t="str">
        <f>IF(ISBLANK($B60),"",VLOOKUP($B60,'Eingabe Zeiten'!CK:DJ,10,0))</f>
        <v>14:4:11,93</v>
      </c>
      <c r="Y60" s="116" t="str">
        <f>IF(ISBLANK($B60),"",VLOOKUP($B60,'Eingabe Zeiten'!CK:DJ,11,0))</f>
        <v>14:9:39,95</v>
      </c>
      <c r="Z60" s="279">
        <f t="shared" si="6"/>
        <v>3.7965277777778361E-3</v>
      </c>
      <c r="AA60" s="132" t="str">
        <f>IF(ISBLANK($B60),"",VLOOKUP($B60,'Eingabe Zeiten'!CK:DJ,12,0))</f>
        <v>0:0:0,0</v>
      </c>
      <c r="AB60" s="117" t="str">
        <f t="shared" si="7"/>
        <v/>
      </c>
      <c r="AC60" s="115" t="str">
        <f>IF(ISBLANK($B60),"",VLOOKUP($B60,'Eingabe Zeiten'!CK:DJ,14,0))</f>
        <v>15:26:14,31</v>
      </c>
      <c r="AD60" s="116" t="str">
        <f>IF(ISBLANK($B60),"",VLOOKUP($B60,'Eingabe Zeiten'!CK:DJ,15,0))</f>
        <v>15:32:19,76</v>
      </c>
      <c r="AE60" s="279">
        <f t="shared" si="8"/>
        <v>4.2297453703703525E-3</v>
      </c>
      <c r="AF60" s="132" t="str">
        <f>IF(ISBLANK($B60),"",VLOOKUP($B60,'Eingabe Zeiten'!CK:DJ,16,0))</f>
        <v>0:0:0,0</v>
      </c>
      <c r="AG60" s="117" t="str">
        <f t="shared" si="9"/>
        <v/>
      </c>
      <c r="AH60" s="115" t="str">
        <f>IF(ISBLANK($B60),"",VLOOKUP($B60,'Eingabe Zeiten'!CK:DJ,18,0))</f>
        <v>15:59:32,9</v>
      </c>
      <c r="AI60" s="116" t="str">
        <f>IF(ISBLANK($B60),"",VLOOKUP($B60,'Eingabe Zeiten'!CK:DJ,19,0))</f>
        <v>16:4:55,60</v>
      </c>
      <c r="AJ60" s="279">
        <f t="shared" si="10"/>
        <v>3.7349537037036917E-3</v>
      </c>
      <c r="AK60" s="132" t="str">
        <f>IF(ISBLANK($B60),"",VLOOKUP($B60,'Eingabe Zeiten'!CK:DJ,20,0))</f>
        <v>0:0:0,0</v>
      </c>
      <c r="AL60" s="117" t="str">
        <f t="shared" si="11"/>
        <v/>
      </c>
      <c r="AM60" s="115" t="str">
        <f>IF(ISBLANK($B60),"",VLOOKUP($B60,'Eingabe Zeiten'!CK:DJ,22,0))</f>
        <v>0:0:0,0</v>
      </c>
      <c r="AN60" s="116" t="str">
        <f>IF(ISBLANK($B60),"",VLOOKUP($B60,'Eingabe Zeiten'!CK:DJ,23,0))</f>
        <v>0:0:0,0</v>
      </c>
      <c r="AO60" s="279">
        <f t="shared" si="16"/>
        <v>0</v>
      </c>
      <c r="AP60" s="132" t="str">
        <f>IF(ISBLANK($B60),"",VLOOKUP($B60,'Eingabe Zeiten'!CK:DJ,24,0))</f>
        <v>0:0:0,0</v>
      </c>
      <c r="AQ60" s="117" t="str">
        <f t="shared" si="13"/>
        <v/>
      </c>
      <c r="AR60" s="136" t="str">
        <f>IF(ISBLANK($B60),"",VLOOKUP($B60,'Eingabe Zeiten'!CK:DJ,26,0))</f>
        <v>0:0:0,0</v>
      </c>
      <c r="AS60" s="213"/>
      <c r="AT60" s="279">
        <f t="shared" si="18"/>
        <v>1.9828472222222282E-2</v>
      </c>
      <c r="AU60" s="139">
        <f t="shared" si="19"/>
        <v>0</v>
      </c>
      <c r="AV60" s="224">
        <f t="shared" si="17"/>
        <v>1.9828472222222282E-2</v>
      </c>
    </row>
    <row r="61" spans="2:48" s="214" customFormat="1" ht="27.75" customHeight="1">
      <c r="B61" s="118">
        <v>55</v>
      </c>
      <c r="C61" s="275">
        <f>IF(ISBLANK($B61),"",VLOOKUP($B61,Teilnehmer!$B$4:$K$199,2,0))</f>
        <v>1</v>
      </c>
      <c r="D61" s="276">
        <f>IF(ISBLANK($B61),"",VLOOKUP($B61,Teilnehmer!$B$4:$K$199,3,0))</f>
        <v>5</v>
      </c>
      <c r="E61" s="93" t="str">
        <f>IF(ISBLANK($B61),"",VLOOKUP($B61,Teilnehmer!$B$4:$K$199,4,0))</f>
        <v>Biendl Willibald</v>
      </c>
      <c r="F61" s="285">
        <f>IF(ISBLANK($B61),"",VLOOKUP($B61,Teilnehmer!$B$4:$K$199,5,0))</f>
        <v>14763</v>
      </c>
      <c r="G61" s="288" t="str">
        <f>IF(ISBLANK($B61),"",VLOOKUP($B61,Teilnehmer!$B$4:$K$199,6,0))</f>
        <v>MSC Mamming</v>
      </c>
      <c r="H61" s="93" t="str">
        <f>IF(ISBLANK($B61),"",VLOOKUP($B61,Teilnehmer!$B$4:$K$199,7,0))</f>
        <v>Schwaiger Viktoria</v>
      </c>
      <c r="I61" s="285">
        <f>IF(ISBLANK($B61),"",VLOOKUP($B61,Teilnehmer!$B$4:$K$199,8,0))</f>
        <v>16168</v>
      </c>
      <c r="J61" s="289" t="str">
        <f>IF(ISBLANK($B61),"",VLOOKUP($B61,Teilnehmer!$B$4:$K$199,9,0))</f>
        <v>SCC Grünthal</v>
      </c>
      <c r="K61" s="180" t="str">
        <f>IF(ISBLANK($B61),"",VLOOKUP($B61,Teilnehmer!$B$4:$K$199,10,0))</f>
        <v>BMW 323ti</v>
      </c>
      <c r="L61" s="212"/>
      <c r="M61" s="226">
        <f t="shared" si="1"/>
        <v>55</v>
      </c>
      <c r="N61" s="115" t="str">
        <f>IF(ISBLANK($B61),"",VLOOKUP($B61,'Eingabe Zeiten'!CK:DJ,2,0))</f>
        <v>11:53:11,12</v>
      </c>
      <c r="O61" s="116" t="str">
        <f>IF(ISBLANK($B61),"",VLOOKUP($B61,'Eingabe Zeiten'!CK:DJ,3,0))</f>
        <v>11:58:44,11</v>
      </c>
      <c r="P61" s="279">
        <f t="shared" si="2"/>
        <v>3.8540509259258893E-3</v>
      </c>
      <c r="Q61" s="132" t="str">
        <f>IF(ISBLANK($B61),"",VLOOKUP($B61,'Eingabe Zeiten'!CK:DJ,4,0))</f>
        <v>0:0:0,0</v>
      </c>
      <c r="R61" s="117" t="str">
        <f t="shared" si="3"/>
        <v/>
      </c>
      <c r="S61" s="115" t="str">
        <f>IF(ISBLANK($B61),"",VLOOKUP($B61,'Eingabe Zeiten'!CK:DJ,6,0))</f>
        <v>12:51:14,90</v>
      </c>
      <c r="T61" s="116" t="str">
        <f>IF(ISBLANK($B61),"",VLOOKUP($B61,'Eingabe Zeiten'!CK:DJ,7,0))</f>
        <v>12:57:37,95</v>
      </c>
      <c r="U61" s="279">
        <f t="shared" si="4"/>
        <v>4.4334490740739474E-3</v>
      </c>
      <c r="V61" s="132" t="str">
        <f>IF(ISBLANK($B61),"",VLOOKUP($B61,'Eingabe Zeiten'!CK:DJ,8,0))</f>
        <v>0:0:0,0</v>
      </c>
      <c r="W61" s="117" t="str">
        <f t="shared" si="5"/>
        <v/>
      </c>
      <c r="X61" s="115" t="str">
        <f>IF(ISBLANK($B61),"",VLOOKUP($B61,'Eingabe Zeiten'!CK:DJ,10,0))</f>
        <v>14:5:13,29</v>
      </c>
      <c r="Y61" s="116" t="str">
        <f>IF(ISBLANK($B61),"",VLOOKUP($B61,'Eingabe Zeiten'!CK:DJ,11,0))</f>
        <v>14:10:41,40</v>
      </c>
      <c r="Z61" s="279">
        <f t="shared" si="6"/>
        <v>3.7975694444444263E-3</v>
      </c>
      <c r="AA61" s="132" t="str">
        <f>IF(ISBLANK($B61),"",VLOOKUP($B61,'Eingabe Zeiten'!CK:DJ,12,0))</f>
        <v>0:0:0,0</v>
      </c>
      <c r="AB61" s="117" t="str">
        <f t="shared" si="7"/>
        <v/>
      </c>
      <c r="AC61" s="115" t="str">
        <f>IF(ISBLANK($B61),"",VLOOKUP($B61,'Eingabe Zeiten'!CK:DJ,14,0))</f>
        <v>15:26:34,76</v>
      </c>
      <c r="AD61" s="116" t="str">
        <f>IF(ISBLANK($B61),"",VLOOKUP($B61,'Eingabe Zeiten'!CK:DJ,15,0))</f>
        <v>15:32:41,44</v>
      </c>
      <c r="AE61" s="279">
        <f t="shared" si="8"/>
        <v>4.2439814814815291E-3</v>
      </c>
      <c r="AF61" s="132" t="str">
        <f>IF(ISBLANK($B61),"",VLOOKUP($B61,'Eingabe Zeiten'!CK:DJ,16,0))</f>
        <v>0:0:0,0</v>
      </c>
      <c r="AG61" s="117" t="str">
        <f t="shared" si="9"/>
        <v/>
      </c>
      <c r="AH61" s="115" t="str">
        <f>IF(ISBLANK($B61),"",VLOOKUP($B61,'Eingabe Zeiten'!CK:DJ,18,0))</f>
        <v>16:0:8,29</v>
      </c>
      <c r="AI61" s="116" t="str">
        <f>IF(ISBLANK($B61),"",VLOOKUP($B61,'Eingabe Zeiten'!CK:DJ,19,0))</f>
        <v>16:5:31,29</v>
      </c>
      <c r="AJ61" s="279">
        <f t="shared" si="10"/>
        <v>3.7384259259258812E-3</v>
      </c>
      <c r="AK61" s="132" t="str">
        <f>IF(ISBLANK($B61),"",VLOOKUP($B61,'Eingabe Zeiten'!CK:DJ,20,0))</f>
        <v>0:0:0,0</v>
      </c>
      <c r="AL61" s="117" t="str">
        <f t="shared" si="11"/>
        <v/>
      </c>
      <c r="AM61" s="115" t="str">
        <f>IF(ISBLANK($B61),"",VLOOKUP($B61,'Eingabe Zeiten'!CK:DJ,22,0))</f>
        <v>0:0:0,0</v>
      </c>
      <c r="AN61" s="116" t="str">
        <f>IF(ISBLANK($B61),"",VLOOKUP($B61,'Eingabe Zeiten'!CK:DJ,23,0))</f>
        <v>0:0:0,0</v>
      </c>
      <c r="AO61" s="279">
        <f t="shared" si="16"/>
        <v>0</v>
      </c>
      <c r="AP61" s="132" t="str">
        <f>IF(ISBLANK($B61),"",VLOOKUP($B61,'Eingabe Zeiten'!CK:DJ,24,0))</f>
        <v>0:0:0,0</v>
      </c>
      <c r="AQ61" s="117" t="str">
        <f t="shared" si="13"/>
        <v/>
      </c>
      <c r="AR61" s="136" t="str">
        <f>IF(ISBLANK($B61),"",VLOOKUP($B61,'Eingabe Zeiten'!CK:DJ,26,0))</f>
        <v>0:0:0,0</v>
      </c>
      <c r="AS61" s="213"/>
      <c r="AT61" s="279">
        <f t="shared" si="18"/>
        <v>2.0067476851851673E-2</v>
      </c>
      <c r="AU61" s="139">
        <f t="shared" si="19"/>
        <v>0</v>
      </c>
      <c r="AV61" s="224">
        <f t="shared" si="17"/>
        <v>2.0067476851851673E-2</v>
      </c>
    </row>
    <row r="62" spans="2:48" s="214" customFormat="1" ht="27.75" customHeight="1">
      <c r="B62" s="118">
        <v>56</v>
      </c>
      <c r="C62" s="275">
        <f>IF(ISBLANK($B62),"",VLOOKUP($B62,Teilnehmer!$B$4:$K$199,2,0))</f>
        <v>1</v>
      </c>
      <c r="D62" s="276">
        <f>IF(ISBLANK($B62),"",VLOOKUP($B62,Teilnehmer!$B$4:$K$199,3,0))</f>
        <v>5</v>
      </c>
      <c r="E62" s="93" t="str">
        <f>IF(ISBLANK($B62),"",VLOOKUP($B62,Teilnehmer!$B$4:$K$199,4,0))</f>
        <v>Knese Fabian</v>
      </c>
      <c r="F62" s="285">
        <f>IF(ISBLANK($B62),"",VLOOKUP($B62,Teilnehmer!$B$4:$K$199,5,0))</f>
        <v>15997</v>
      </c>
      <c r="G62" s="288" t="str">
        <f>IF(ISBLANK($B62),"",VLOOKUP($B62,Teilnehmer!$B$4:$K$199,6,0))</f>
        <v>UMC Ulm / MC Einsingen / MSC Mamming</v>
      </c>
      <c r="H62" s="93" t="str">
        <f>IF(ISBLANK($B62),"",VLOOKUP($B62,Teilnehmer!$B$4:$K$199,7,0))</f>
        <v>Sancakli Dean</v>
      </c>
      <c r="I62" s="285">
        <f>IF(ISBLANK($B62),"",VLOOKUP($B62,Teilnehmer!$B$4:$K$199,8,0))</f>
        <v>16625</v>
      </c>
      <c r="J62" s="289" t="str">
        <f>IF(ISBLANK($B62),"",VLOOKUP($B62,Teilnehmer!$B$4:$K$199,9,0))</f>
        <v>-</v>
      </c>
      <c r="K62" s="180" t="str">
        <f>IF(ISBLANK($B62),"",VLOOKUP($B62,Teilnehmer!$B$4:$K$199,10,0))</f>
        <v>BMW E36</v>
      </c>
      <c r="L62" s="212"/>
      <c r="M62" s="226">
        <f t="shared" si="1"/>
        <v>56</v>
      </c>
      <c r="N62" s="115" t="str">
        <f>IF(ISBLANK($B62),"",VLOOKUP($B62,'Eingabe Zeiten'!CK:DJ,2,0))</f>
        <v>11:54:2,24</v>
      </c>
      <c r="O62" s="116" t="str">
        <f>IF(ISBLANK($B62),"",VLOOKUP($B62,'Eingabe Zeiten'!CK:DJ,3,0))</f>
        <v>11:59:43,89</v>
      </c>
      <c r="P62" s="279">
        <f t="shared" si="2"/>
        <v>3.9542824074074168E-3</v>
      </c>
      <c r="Q62" s="132" t="str">
        <f>IF(ISBLANK($B62),"",VLOOKUP($B62,'Eingabe Zeiten'!CK:DJ,4,0))</f>
        <v>0:0:0,0</v>
      </c>
      <c r="R62" s="117" t="str">
        <f t="shared" si="3"/>
        <v/>
      </c>
      <c r="S62" s="115" t="str">
        <f>IF(ISBLANK($B62),"",VLOOKUP($B62,'Eingabe Zeiten'!CK:DJ,6,0))</f>
        <v>12:51:36,52</v>
      </c>
      <c r="T62" s="116" t="str">
        <f>IF(ISBLANK($B62),"",VLOOKUP($B62,'Eingabe Zeiten'!CK:DJ,7,0))</f>
        <v>12:58:51,5</v>
      </c>
      <c r="U62" s="279">
        <f t="shared" si="4"/>
        <v>5.0344907407408046E-3</v>
      </c>
      <c r="V62" s="132" t="str">
        <f>IF(ISBLANK($B62),"",VLOOKUP($B62,'Eingabe Zeiten'!CK:DJ,8,0))</f>
        <v>0:0:0,0</v>
      </c>
      <c r="W62" s="117" t="str">
        <f t="shared" si="5"/>
        <v/>
      </c>
      <c r="X62" s="115" t="str">
        <f>IF(ISBLANK($B62),"",VLOOKUP($B62,'Eingabe Zeiten'!CK:DJ,10,0))</f>
        <v>14:6:29,73</v>
      </c>
      <c r="Y62" s="116" t="str">
        <f>IF(ISBLANK($B62),"",VLOOKUP($B62,'Eingabe Zeiten'!CK:DJ,11,0))</f>
        <v>14:12:8,34</v>
      </c>
      <c r="Z62" s="279">
        <f t="shared" si="6"/>
        <v>3.9190972222220566E-3</v>
      </c>
      <c r="AA62" s="132" t="str">
        <f>IF(ISBLANK($B62),"",VLOOKUP($B62,'Eingabe Zeiten'!CK:DJ,12,0))</f>
        <v>0:0:0,0</v>
      </c>
      <c r="AB62" s="117" t="str">
        <f t="shared" si="7"/>
        <v/>
      </c>
      <c r="AC62" s="115" t="str">
        <f>IF(ISBLANK($B62),"",VLOOKUP($B62,'Eingabe Zeiten'!CK:DJ,14,0))</f>
        <v>15:30:39,42</v>
      </c>
      <c r="AD62" s="116" t="str">
        <f>IF(ISBLANK($B62),"",VLOOKUP($B62,'Eingabe Zeiten'!CK:DJ,15,0))</f>
        <v>15:37:19,87</v>
      </c>
      <c r="AE62" s="279">
        <f t="shared" si="8"/>
        <v>4.6348379629630454E-3</v>
      </c>
      <c r="AF62" s="132" t="str">
        <f>IF(ISBLANK($B62),"",VLOOKUP($B62,'Eingabe Zeiten'!CK:DJ,16,0))</f>
        <v>0:0:0,0</v>
      </c>
      <c r="AG62" s="117" t="str">
        <f t="shared" si="9"/>
        <v/>
      </c>
      <c r="AH62" s="115" t="str">
        <f>IF(ISBLANK($B62),"",VLOOKUP($B62,'Eingabe Zeiten'!CK:DJ,18,0))</f>
        <v>16:2:29,61</v>
      </c>
      <c r="AI62" s="116" t="str">
        <f>IF(ISBLANK($B62),"",VLOOKUP($B62,'Eingabe Zeiten'!CK:DJ,19,0))</f>
        <v>16:8:7,56</v>
      </c>
      <c r="AJ62" s="279">
        <f t="shared" si="10"/>
        <v>3.9114583333332842E-3</v>
      </c>
      <c r="AK62" s="132" t="str">
        <f>IF(ISBLANK($B62),"",VLOOKUP($B62,'Eingabe Zeiten'!CK:DJ,20,0))</f>
        <v>0:0:0,0</v>
      </c>
      <c r="AL62" s="117" t="str">
        <f t="shared" si="11"/>
        <v/>
      </c>
      <c r="AM62" s="115" t="str">
        <f>IF(ISBLANK($B62),"",VLOOKUP($B62,'Eingabe Zeiten'!CK:DJ,22,0))</f>
        <v>0:0:0,0</v>
      </c>
      <c r="AN62" s="116" t="str">
        <f>IF(ISBLANK($B62),"",VLOOKUP($B62,'Eingabe Zeiten'!CK:DJ,23,0))</f>
        <v>0:0:0,0</v>
      </c>
      <c r="AO62" s="279">
        <f t="shared" si="16"/>
        <v>0</v>
      </c>
      <c r="AP62" s="132" t="str">
        <f>IF(ISBLANK($B62),"",VLOOKUP($B62,'Eingabe Zeiten'!CK:DJ,24,0))</f>
        <v>0:0:0,0</v>
      </c>
      <c r="AQ62" s="117" t="str">
        <f t="shared" si="13"/>
        <v/>
      </c>
      <c r="AR62" s="136" t="str">
        <f>IF(ISBLANK($B62),"",VLOOKUP($B62,'Eingabe Zeiten'!CK:DJ,26,0))</f>
        <v>0:0:0,0</v>
      </c>
      <c r="AS62" s="213"/>
      <c r="AT62" s="279">
        <f t="shared" si="18"/>
        <v>2.1454166666666608E-2</v>
      </c>
      <c r="AU62" s="139">
        <f t="shared" si="19"/>
        <v>0</v>
      </c>
      <c r="AV62" s="224">
        <f t="shared" si="17"/>
        <v>2.1454166666666608E-2</v>
      </c>
    </row>
    <row r="63" spans="2:48" s="214" customFormat="1" ht="27.75" customHeight="1">
      <c r="B63" s="118">
        <v>57</v>
      </c>
      <c r="C63" s="275">
        <f>IF(ISBLANK($B63),"",VLOOKUP($B63,Teilnehmer!$B$4:$K$199,2,0))</f>
        <v>1</v>
      </c>
      <c r="D63" s="276">
        <f>IF(ISBLANK($B63),"",VLOOKUP($B63,Teilnehmer!$B$4:$K$199,3,0))</f>
        <v>5</v>
      </c>
      <c r="E63" s="93" t="str">
        <f>IF(ISBLANK($B63),"",VLOOKUP($B63,Teilnehmer!$B$4:$K$199,4,0))</f>
        <v>Humburg Korbinian</v>
      </c>
      <c r="F63" s="285">
        <f>IF(ISBLANK($B63),"",VLOOKUP($B63,Teilnehmer!$B$4:$K$199,5,0))</f>
        <v>16308</v>
      </c>
      <c r="G63" s="288" t="str">
        <f>IF(ISBLANK($B63),"",VLOOKUP($B63,Teilnehmer!$B$4:$K$199,6,0))</f>
        <v>MSC Mamming</v>
      </c>
      <c r="H63" s="93" t="str">
        <f>IF(ISBLANK($B63),"",VLOOKUP($B63,Teilnehmer!$B$4:$K$199,7,0))</f>
        <v>Pöschl Manfred</v>
      </c>
      <c r="I63" s="285">
        <f>IF(ISBLANK($B63),"",VLOOKUP($B63,Teilnehmer!$B$4:$K$199,8,0))</f>
        <v>16309</v>
      </c>
      <c r="J63" s="289" t="str">
        <f>IF(ISBLANK($B63),"",VLOOKUP($B63,Teilnehmer!$B$4:$K$199,9,0))</f>
        <v>-</v>
      </c>
      <c r="K63" s="180" t="str">
        <f>IF(ISBLANK($B63),"",VLOOKUP($B63,Teilnehmer!$B$4:$K$199,10,0))</f>
        <v>BMW E36 328i</v>
      </c>
      <c r="L63" s="212"/>
      <c r="M63" s="226">
        <f t="shared" si="1"/>
        <v>57</v>
      </c>
      <c r="N63" s="115" t="str">
        <f>IF(ISBLANK($B63),"",VLOOKUP($B63,'Eingabe Zeiten'!CK:DJ,2,0))</f>
        <v>11:56:40,88</v>
      </c>
      <c r="O63" s="116" t="str">
        <f>IF(ISBLANK($B63),"",VLOOKUP($B63,'Eingabe Zeiten'!CK:DJ,3,0))</f>
        <v>12:2:18,30</v>
      </c>
      <c r="P63" s="279">
        <f t="shared" si="2"/>
        <v>3.9053240740741235E-3</v>
      </c>
      <c r="Q63" s="132" t="str">
        <f>IF(ISBLANK($B63),"",VLOOKUP($B63,'Eingabe Zeiten'!CK:DJ,4,0))</f>
        <v>0:0:0,0</v>
      </c>
      <c r="R63" s="117" t="str">
        <f t="shared" si="3"/>
        <v/>
      </c>
      <c r="S63" s="115" t="str">
        <f>IF(ISBLANK($B63),"",VLOOKUP($B63,'Eingabe Zeiten'!CK:DJ,6,0))</f>
        <v>12:56:44,27</v>
      </c>
      <c r="T63" s="116" t="str">
        <f>IF(ISBLANK($B63),"",VLOOKUP($B63,'Eingabe Zeiten'!CK:DJ,7,0))</f>
        <v>::,</v>
      </c>
      <c r="U63" s="305">
        <v>1.0416666666666666E-2</v>
      </c>
      <c r="V63" s="132" t="str">
        <f>IF(ISBLANK($B63),"",VLOOKUP($B63,'Eingabe Zeiten'!CK:DJ,8,0))</f>
        <v>0:0:0,0</v>
      </c>
      <c r="W63" s="117" t="str">
        <f t="shared" si="5"/>
        <v/>
      </c>
      <c r="X63" s="115" t="str">
        <f>IF(ISBLANK($B63),"",VLOOKUP($B63,'Eingabe Zeiten'!CK:DJ,10,0))</f>
        <v>::,</v>
      </c>
      <c r="Y63" s="116" t="str">
        <f>IF(ISBLANK($B63),"",VLOOKUP($B63,'Eingabe Zeiten'!CK:DJ,11,0))</f>
        <v>::,</v>
      </c>
      <c r="Z63" s="279" t="s">
        <v>287</v>
      </c>
      <c r="AA63" s="132" t="str">
        <f>IF(ISBLANK($B63),"",VLOOKUP($B63,'Eingabe Zeiten'!CK:DJ,12,0))</f>
        <v>0:0:0,0</v>
      </c>
      <c r="AB63" s="117" t="str">
        <f t="shared" si="7"/>
        <v/>
      </c>
      <c r="AC63" s="115" t="str">
        <f>IF(ISBLANK($B63),"",VLOOKUP($B63,'Eingabe Zeiten'!CK:DJ,14,0))</f>
        <v>::,</v>
      </c>
      <c r="AD63" s="116" t="str">
        <f>IF(ISBLANK($B63),"",VLOOKUP($B63,'Eingabe Zeiten'!CK:DJ,15,0))</f>
        <v>::,</v>
      </c>
      <c r="AE63" s="279" t="s">
        <v>287</v>
      </c>
      <c r="AF63" s="132" t="str">
        <f>IF(ISBLANK($B63),"",VLOOKUP($B63,'Eingabe Zeiten'!CK:DJ,16,0))</f>
        <v>0:0:0,0</v>
      </c>
      <c r="AG63" s="117" t="str">
        <f t="shared" si="9"/>
        <v/>
      </c>
      <c r="AH63" s="115" t="str">
        <f>IF(ISBLANK($B63),"",VLOOKUP($B63,'Eingabe Zeiten'!CK:DJ,18,0))</f>
        <v>::,</v>
      </c>
      <c r="AI63" s="116" t="str">
        <f>IF(ISBLANK($B63),"",VLOOKUP($B63,'Eingabe Zeiten'!CK:DJ,19,0))</f>
        <v>::,</v>
      </c>
      <c r="AJ63" s="279" t="s">
        <v>287</v>
      </c>
      <c r="AK63" s="132" t="str">
        <f>IF(ISBLANK($B63),"",VLOOKUP($B63,'Eingabe Zeiten'!CK:DJ,20,0))</f>
        <v>0:0:0,0</v>
      </c>
      <c r="AL63" s="117" t="str">
        <f t="shared" si="11"/>
        <v/>
      </c>
      <c r="AM63" s="115" t="str">
        <f>IF(ISBLANK($B63),"",VLOOKUP($B63,'Eingabe Zeiten'!CK:DJ,22,0))</f>
        <v>0:0:0,0</v>
      </c>
      <c r="AN63" s="116" t="str">
        <f>IF(ISBLANK($B63),"",VLOOKUP($B63,'Eingabe Zeiten'!CK:DJ,23,0))</f>
        <v>0:0:0,0</v>
      </c>
      <c r="AO63" s="279">
        <f t="shared" si="16"/>
        <v>0</v>
      </c>
      <c r="AP63" s="132" t="str">
        <f>IF(ISBLANK($B63),"",VLOOKUP($B63,'Eingabe Zeiten'!CK:DJ,24,0))</f>
        <v>0:0:0,0</v>
      </c>
      <c r="AQ63" s="117" t="str">
        <f t="shared" si="13"/>
        <v/>
      </c>
      <c r="AR63" s="136" t="str">
        <f>IF(ISBLANK($B63),"",VLOOKUP($B63,'Eingabe Zeiten'!CK:DJ,26,0))</f>
        <v>0:0:0,0</v>
      </c>
      <c r="AS63" s="213"/>
      <c r="AT63" s="279" t="s">
        <v>287</v>
      </c>
      <c r="AU63" s="139">
        <f t="shared" si="19"/>
        <v>0</v>
      </c>
      <c r="AV63" s="224" t="s">
        <v>287</v>
      </c>
    </row>
    <row r="64" spans="2:48" s="214" customFormat="1" ht="27.75" customHeight="1">
      <c r="B64" s="118">
        <v>58</v>
      </c>
      <c r="C64" s="275">
        <f>IF(ISBLANK($B64),"",VLOOKUP($B64,Teilnehmer!$B$4:$K$199,2,0))</f>
        <v>1</v>
      </c>
      <c r="D64" s="276">
        <f>IF(ISBLANK($B64),"",VLOOKUP($B64,Teilnehmer!$B$4:$K$199,3,0))</f>
        <v>5</v>
      </c>
      <c r="E64" s="93" t="str">
        <f>IF(ISBLANK($B64),"",VLOOKUP($B64,Teilnehmer!$B$4:$K$199,4,0))</f>
        <v>Kühnlein Matthias</v>
      </c>
      <c r="F64" s="285">
        <f>IF(ISBLANK($B64),"",VLOOKUP($B64,Teilnehmer!$B$4:$K$199,5,0))</f>
        <v>16416</v>
      </c>
      <c r="G64" s="288" t="str">
        <f>IF(ISBLANK($B64),"",VLOOKUP($B64,Teilnehmer!$B$4:$K$199,6,0))</f>
        <v>AC Gunzenhausen</v>
      </c>
      <c r="H64" s="93" t="str">
        <f>IF(ISBLANK($B64),"",VLOOKUP($B64,Teilnehmer!$B$4:$K$199,7,0))</f>
        <v>Funk Christian</v>
      </c>
      <c r="I64" s="285">
        <f>IF(ISBLANK($B64),"",VLOOKUP($B64,Teilnehmer!$B$4:$K$199,8,0))</f>
        <v>13818</v>
      </c>
      <c r="J64" s="289" t="str">
        <f>IF(ISBLANK($B64),"",VLOOKUP($B64,Teilnehmer!$B$4:$K$199,9,0))</f>
        <v>AC Gunzenhausen</v>
      </c>
      <c r="K64" s="180" t="str">
        <f>IF(ISBLANK($B64),"",VLOOKUP($B64,Teilnehmer!$B$4:$K$199,10,0))</f>
        <v>Mercedes-Benz C230 Sportcoupe</v>
      </c>
      <c r="L64" s="212"/>
      <c r="M64" s="226">
        <f t="shared" si="1"/>
        <v>58</v>
      </c>
      <c r="N64" s="115" t="str">
        <f>IF(ISBLANK($B64),"",VLOOKUP($B64,'Eingabe Zeiten'!CK:DJ,2,0))</f>
        <v>11:54:34,77</v>
      </c>
      <c r="O64" s="116" t="str">
        <f>IF(ISBLANK($B64),"",VLOOKUP($B64,'Eingabe Zeiten'!CK:DJ,3,0))</f>
        <v>12:1:2,98</v>
      </c>
      <c r="P64" s="279">
        <f t="shared" si="2"/>
        <v>4.4931712962963943E-3</v>
      </c>
      <c r="Q64" s="132" t="str">
        <f>IF(ISBLANK($B64),"",VLOOKUP($B64,'Eingabe Zeiten'!CK:DJ,4,0))</f>
        <v>0:0:0,0</v>
      </c>
      <c r="R64" s="117" t="str">
        <f t="shared" si="3"/>
        <v/>
      </c>
      <c r="S64" s="115" t="str">
        <f>IF(ISBLANK($B64),"",VLOOKUP($B64,'Eingabe Zeiten'!CK:DJ,6,0))</f>
        <v>12:51:53,14</v>
      </c>
      <c r="T64" s="116" t="str">
        <f>IF(ISBLANK($B64),"",VLOOKUP($B64,'Eingabe Zeiten'!CK:DJ,7,0))</f>
        <v>12:58:48,96</v>
      </c>
      <c r="U64" s="279">
        <f t="shared" si="4"/>
        <v>4.8127314814815358E-3</v>
      </c>
      <c r="V64" s="132" t="str">
        <f>IF(ISBLANK($B64),"",VLOOKUP($B64,'Eingabe Zeiten'!CK:DJ,8,0))</f>
        <v>0:0:0,0</v>
      </c>
      <c r="W64" s="117" t="str">
        <f t="shared" si="5"/>
        <v/>
      </c>
      <c r="X64" s="115" t="str">
        <f>IF(ISBLANK($B64),"",VLOOKUP($B64,'Eingabe Zeiten'!CK:DJ,10,0))</f>
        <v>14:7:32,79</v>
      </c>
      <c r="Y64" s="116" t="str">
        <f>IF(ISBLANK($B64),"",VLOOKUP($B64,'Eingabe Zeiten'!CK:DJ,11,0))</f>
        <v>14:13:52,13</v>
      </c>
      <c r="Z64" s="279">
        <f t="shared" si="6"/>
        <v>4.3905092592592121E-3</v>
      </c>
      <c r="AA64" s="132" t="str">
        <f>IF(ISBLANK($B64),"",VLOOKUP($B64,'Eingabe Zeiten'!CK:DJ,12,0))</f>
        <v>0:0:0,0</v>
      </c>
      <c r="AB64" s="117" t="str">
        <f t="shared" si="7"/>
        <v/>
      </c>
      <c r="AC64" s="115" t="str">
        <f>IF(ISBLANK($B64),"",VLOOKUP($B64,'Eingabe Zeiten'!CK:DJ,14,0))</f>
        <v>15:30:57,18</v>
      </c>
      <c r="AD64" s="116" t="str">
        <f>IF(ISBLANK($B64),"",VLOOKUP($B64,'Eingabe Zeiten'!CK:DJ,15,0))</f>
        <v>15:37:46,45</v>
      </c>
      <c r="AE64" s="279">
        <f t="shared" si="8"/>
        <v>4.7369212962963259E-3</v>
      </c>
      <c r="AF64" s="132" t="str">
        <f>IF(ISBLANK($B64),"",VLOOKUP($B64,'Eingabe Zeiten'!CK:DJ,16,0))</f>
        <v>0:0:0,0</v>
      </c>
      <c r="AG64" s="117" t="str">
        <f t="shared" si="9"/>
        <v/>
      </c>
      <c r="AH64" s="115" t="str">
        <f>IF(ISBLANK($B64),"",VLOOKUP($B64,'Eingabe Zeiten'!CK:DJ,18,0))</f>
        <v>16:3:12,83</v>
      </c>
      <c r="AI64" s="116" t="str">
        <f>IF(ISBLANK($B64),"",VLOOKUP($B64,'Eingabe Zeiten'!CK:DJ,19,0))</f>
        <v>16:9:23,54</v>
      </c>
      <c r="AJ64" s="279">
        <f t="shared" si="10"/>
        <v>4.2906249999999924E-3</v>
      </c>
      <c r="AK64" s="132" t="str">
        <f>IF(ISBLANK($B64),"",VLOOKUP($B64,'Eingabe Zeiten'!CK:DJ,20,0))</f>
        <v>0:0:0,0</v>
      </c>
      <c r="AL64" s="117" t="str">
        <f t="shared" si="11"/>
        <v/>
      </c>
      <c r="AM64" s="115" t="str">
        <f>IF(ISBLANK($B64),"",VLOOKUP($B64,'Eingabe Zeiten'!CK:DJ,22,0))</f>
        <v>0:0:0,0</v>
      </c>
      <c r="AN64" s="116" t="str">
        <f>IF(ISBLANK($B64),"",VLOOKUP($B64,'Eingabe Zeiten'!CK:DJ,23,0))</f>
        <v>0:0:0,0</v>
      </c>
      <c r="AO64" s="279">
        <f t="shared" si="16"/>
        <v>0</v>
      </c>
      <c r="AP64" s="132" t="str">
        <f>IF(ISBLANK($B64),"",VLOOKUP($B64,'Eingabe Zeiten'!CK:DJ,24,0))</f>
        <v>0:0:0,0</v>
      </c>
      <c r="AQ64" s="117" t="str">
        <f t="shared" si="13"/>
        <v/>
      </c>
      <c r="AR64" s="136" t="str">
        <f>IF(ISBLANK($B64),"",VLOOKUP($B64,'Eingabe Zeiten'!CK:DJ,26,0))</f>
        <v>0:0:0,0</v>
      </c>
      <c r="AS64" s="213"/>
      <c r="AT64" s="279">
        <f t="shared" si="18"/>
        <v>2.272395833333346E-2</v>
      </c>
      <c r="AU64" s="139">
        <f t="shared" si="19"/>
        <v>0</v>
      </c>
      <c r="AV64" s="224">
        <f t="shared" si="17"/>
        <v>2.272395833333346E-2</v>
      </c>
    </row>
    <row r="65" spans="2:48" s="214" customFormat="1" ht="27.75" customHeight="1">
      <c r="B65" s="118">
        <v>59</v>
      </c>
      <c r="C65" s="275">
        <f>IF(ISBLANK($B65),"",VLOOKUP($B65,Teilnehmer!$B$4:$K$199,2,0))</f>
        <v>1</v>
      </c>
      <c r="D65" s="276">
        <f>IF(ISBLANK($B65),"",VLOOKUP($B65,Teilnehmer!$B$4:$K$199,3,0))</f>
        <v>5</v>
      </c>
      <c r="E65" s="93" t="str">
        <f>IF(ISBLANK($B65),"",VLOOKUP($B65,Teilnehmer!$B$4:$K$199,4,0))</f>
        <v>Stör Andreas</v>
      </c>
      <c r="F65" s="285">
        <f>IF(ISBLANK($B65),"",VLOOKUP($B65,Teilnehmer!$B$4:$K$199,5,0))</f>
        <v>16415</v>
      </c>
      <c r="G65" s="288" t="str">
        <f>IF(ISBLANK($B65),"",VLOOKUP($B65,Teilnehmer!$B$4:$K$199,6,0))</f>
        <v>AC Gunzenhausen</v>
      </c>
      <c r="H65" s="93" t="str">
        <f>IF(ISBLANK($B65),"",VLOOKUP($B65,Teilnehmer!$B$4:$K$199,7,0))</f>
        <v>Haderlein Jan</v>
      </c>
      <c r="I65" s="285">
        <f>IF(ISBLANK($B65),"",VLOOKUP($B65,Teilnehmer!$B$4:$K$199,8,0))</f>
        <v>0</v>
      </c>
      <c r="J65" s="289" t="str">
        <f>IF(ISBLANK($B65),"",VLOOKUP($B65,Teilnehmer!$B$4:$K$199,9,0))</f>
        <v>AC Gunzenhausen</v>
      </c>
      <c r="K65" s="180" t="str">
        <f>IF(ISBLANK($B65),"",VLOOKUP($B65,Teilnehmer!$B$4:$K$199,10,0))</f>
        <v>BMW 323ti</v>
      </c>
      <c r="L65" s="212"/>
      <c r="M65" s="226">
        <f t="shared" si="1"/>
        <v>59</v>
      </c>
      <c r="N65" s="115" t="str">
        <f>IF(ISBLANK($B65),"",VLOOKUP($B65,'Eingabe Zeiten'!CK:DJ,2,0))</f>
        <v>11:55:43,89</v>
      </c>
      <c r="O65" s="116" t="str">
        <f>IF(ISBLANK($B65),"",VLOOKUP($B65,'Eingabe Zeiten'!CK:DJ,3,0))</f>
        <v>12:1:26,21</v>
      </c>
      <c r="P65" s="279">
        <f t="shared" si="2"/>
        <v>3.9620370370370694E-3</v>
      </c>
      <c r="Q65" s="132" t="str">
        <f>IF(ISBLANK($B65),"",VLOOKUP($B65,'Eingabe Zeiten'!CK:DJ,4,0))</f>
        <v>0:0:0,0</v>
      </c>
      <c r="R65" s="117" t="str">
        <f t="shared" si="3"/>
        <v/>
      </c>
      <c r="S65" s="115" t="str">
        <f>IF(ISBLANK($B65),"",VLOOKUP($B65,'Eingabe Zeiten'!CK:DJ,6,0))</f>
        <v>12:56:21,27</v>
      </c>
      <c r="T65" s="116" t="str">
        <f>IF(ISBLANK($B65),"",VLOOKUP($B65,'Eingabe Zeiten'!CK:DJ,7,0))</f>
        <v>13:3:2,82</v>
      </c>
      <c r="U65" s="279">
        <f t="shared" si="4"/>
        <v>4.6475694444444438E-3</v>
      </c>
      <c r="V65" s="132" t="str">
        <f>IF(ISBLANK($B65),"",VLOOKUP($B65,'Eingabe Zeiten'!CK:DJ,8,0))</f>
        <v>0:0:0,0</v>
      </c>
      <c r="W65" s="117" t="str">
        <f t="shared" si="5"/>
        <v/>
      </c>
      <c r="X65" s="115" t="str">
        <f>IF(ISBLANK($B65),"",VLOOKUP($B65,'Eingabe Zeiten'!CK:DJ,10,0))</f>
        <v>14:8:6,69</v>
      </c>
      <c r="Y65" s="116" t="str">
        <f>IF(ISBLANK($B65),"",VLOOKUP($B65,'Eingabe Zeiten'!CK:DJ,11,0))</f>
        <v>14:13:54,66</v>
      </c>
      <c r="Z65" s="279">
        <f t="shared" si="6"/>
        <v>4.0274305555555445E-3</v>
      </c>
      <c r="AA65" s="132" t="str">
        <f>IF(ISBLANK($B65),"",VLOOKUP($B65,'Eingabe Zeiten'!CK:DJ,12,0))</f>
        <v>0:0:0,0</v>
      </c>
      <c r="AB65" s="117" t="str">
        <f t="shared" si="7"/>
        <v/>
      </c>
      <c r="AC65" s="115" t="str">
        <f>IF(ISBLANK($B65),"",VLOOKUP($B65,'Eingabe Zeiten'!CK:DJ,14,0))</f>
        <v>15:31:20,34</v>
      </c>
      <c r="AD65" s="116" t="str">
        <f>IF(ISBLANK($B65),"",VLOOKUP($B65,'Eingabe Zeiten'!CK:DJ,15,0))</f>
        <v>15:37:53,18</v>
      </c>
      <c r="AE65" s="279">
        <f t="shared" si="8"/>
        <v>4.546759259259292E-3</v>
      </c>
      <c r="AF65" s="132" t="str">
        <f>IF(ISBLANK($B65),"",VLOOKUP($B65,'Eingabe Zeiten'!CK:DJ,16,0))</f>
        <v>0:0:0,0</v>
      </c>
      <c r="AG65" s="117" t="str">
        <f t="shared" si="9"/>
        <v/>
      </c>
      <c r="AH65" s="115" t="str">
        <f>IF(ISBLANK($B65),"",VLOOKUP($B65,'Eingabe Zeiten'!CK:DJ,18,0))</f>
        <v>16:5:4,62</v>
      </c>
      <c r="AI65" s="116" t="str">
        <f>IF(ISBLANK($B65),"",VLOOKUP($B65,'Eingabe Zeiten'!CK:DJ,19,0))</f>
        <v>16:10:49,15</v>
      </c>
      <c r="AJ65" s="279">
        <f t="shared" si="10"/>
        <v>3.9876157407406909E-3</v>
      </c>
      <c r="AK65" s="132" t="str">
        <f>IF(ISBLANK($B65),"",VLOOKUP($B65,'Eingabe Zeiten'!CK:DJ,20,0))</f>
        <v>0:0:0,0</v>
      </c>
      <c r="AL65" s="117" t="str">
        <f t="shared" si="11"/>
        <v/>
      </c>
      <c r="AM65" s="115" t="str">
        <f>IF(ISBLANK($B65),"",VLOOKUP($B65,'Eingabe Zeiten'!CK:DJ,22,0))</f>
        <v>0:0:0,0</v>
      </c>
      <c r="AN65" s="116" t="str">
        <f>IF(ISBLANK($B65),"",VLOOKUP($B65,'Eingabe Zeiten'!CK:DJ,23,0))</f>
        <v>0:0:0,0</v>
      </c>
      <c r="AO65" s="279">
        <f t="shared" si="16"/>
        <v>0</v>
      </c>
      <c r="AP65" s="132" t="str">
        <f>IF(ISBLANK($B65),"",VLOOKUP($B65,'Eingabe Zeiten'!CK:DJ,24,0))</f>
        <v>0:0:0,0</v>
      </c>
      <c r="AQ65" s="117" t="str">
        <f t="shared" si="13"/>
        <v/>
      </c>
      <c r="AR65" s="136" t="str">
        <f>IF(ISBLANK($B65),"",VLOOKUP($B65,'Eingabe Zeiten'!CK:DJ,26,0))</f>
        <v>0:0:0,0</v>
      </c>
      <c r="AS65" s="213"/>
      <c r="AT65" s="279">
        <f t="shared" si="18"/>
        <v>2.1171412037037041E-2</v>
      </c>
      <c r="AU65" s="139">
        <f t="shared" si="19"/>
        <v>0</v>
      </c>
      <c r="AV65" s="224">
        <f t="shared" si="17"/>
        <v>2.1171412037037041E-2</v>
      </c>
    </row>
    <row r="66" spans="2:48" s="214" customFormat="1" ht="27.75" customHeight="1">
      <c r="B66" s="118">
        <v>60</v>
      </c>
      <c r="C66" s="275">
        <f>IF(ISBLANK($B66),"",VLOOKUP($B66,Teilnehmer!$B$4:$K$199,2,0))</f>
        <v>3</v>
      </c>
      <c r="D66" s="276">
        <f>IF(ISBLANK($B66),"",VLOOKUP($B66,Teilnehmer!$B$4:$K$199,3,0))</f>
        <v>11</v>
      </c>
      <c r="E66" s="93" t="str">
        <f>IF(ISBLANK($B66),"",VLOOKUP($B66,Teilnehmer!$B$4:$K$199,4,0))</f>
        <v>Hillreiner Stefan</v>
      </c>
      <c r="F66" s="285" t="str">
        <f>IF(ISBLANK($B66),"",VLOOKUP($B66,Teilnehmer!$B$4:$K$199,5,0))</f>
        <v>-</v>
      </c>
      <c r="G66" s="288" t="str">
        <f>IF(ISBLANK($B66),"",VLOOKUP($B66,Teilnehmer!$B$4:$K$199,6,0))</f>
        <v>Scuderia Neuburg</v>
      </c>
      <c r="H66" s="93" t="str">
        <f>IF(ISBLANK($B66),"",VLOOKUP($B66,Teilnehmer!$B$4:$K$199,7,0))</f>
        <v>Alzheimer Dominik</v>
      </c>
      <c r="I66" s="285" t="str">
        <f>IF(ISBLANK($B66),"",VLOOKUP($B66,Teilnehmer!$B$4:$K$199,8,0))</f>
        <v>-</v>
      </c>
      <c r="J66" s="289" t="str">
        <f>IF(ISBLANK($B66),"",VLOOKUP($B66,Teilnehmer!$B$4:$K$199,9,0))</f>
        <v>-</v>
      </c>
      <c r="K66" s="180" t="str">
        <f>IF(ISBLANK($B66),"",VLOOKUP($B66,Teilnehmer!$B$4:$K$199,10,0))</f>
        <v>Audi TTRS</v>
      </c>
      <c r="L66" s="212"/>
      <c r="M66" s="226">
        <f t="shared" si="1"/>
        <v>60</v>
      </c>
      <c r="N66" s="115" t="str">
        <f>IF(ISBLANK($B66),"",VLOOKUP($B66,'Eingabe Zeiten'!CK:DJ,2,0))</f>
        <v>11:8:18,82</v>
      </c>
      <c r="O66" s="116" t="str">
        <f>IF(ISBLANK($B66),"",VLOOKUP($B66,'Eingabe Zeiten'!CK:DJ,3,0))</f>
        <v>11:13:51,71</v>
      </c>
      <c r="P66" s="279">
        <f t="shared" si="2"/>
        <v>3.8528935185185298E-3</v>
      </c>
      <c r="Q66" s="132" t="str">
        <f>IF(ISBLANK($B66),"",VLOOKUP($B66,'Eingabe Zeiten'!CK:DJ,4,0))</f>
        <v>0:0:0,0</v>
      </c>
      <c r="R66" s="117" t="str">
        <f t="shared" si="3"/>
        <v/>
      </c>
      <c r="S66" s="115" t="str">
        <f>IF(ISBLANK($B66),"",VLOOKUP($B66,'Eingabe Zeiten'!CK:DJ,6,0))</f>
        <v>12:0:44,44</v>
      </c>
      <c r="T66" s="116" t="str">
        <f>IF(ISBLANK($B66),"",VLOOKUP($B66,'Eingabe Zeiten'!CK:DJ,7,0))</f>
        <v>12:6:58,21</v>
      </c>
      <c r="U66" s="279">
        <f t="shared" si="4"/>
        <v>4.3260416666666135E-3</v>
      </c>
      <c r="V66" s="132" t="str">
        <f>IF(ISBLANK($B66),"",VLOOKUP($B66,'Eingabe Zeiten'!CK:DJ,8,0))</f>
        <v>0:0:0,0</v>
      </c>
      <c r="W66" s="117" t="str">
        <f t="shared" si="5"/>
        <v/>
      </c>
      <c r="X66" s="115" t="str">
        <f>IF(ISBLANK($B66),"",VLOOKUP($B66,'Eingabe Zeiten'!CK:DJ,10,0))</f>
        <v>13:28:50,48</v>
      </c>
      <c r="Y66" s="116" t="str">
        <f>IF(ISBLANK($B66),"",VLOOKUP($B66,'Eingabe Zeiten'!CK:DJ,11,0))</f>
        <v>13:33:54,86</v>
      </c>
      <c r="Z66" s="279">
        <f t="shared" si="6"/>
        <v>3.5229166666665979E-3</v>
      </c>
      <c r="AA66" s="132" t="str">
        <f>IF(ISBLANK($B66),"",VLOOKUP($B66,'Eingabe Zeiten'!CK:DJ,12,0))</f>
        <v>0:0:0,0</v>
      </c>
      <c r="AB66" s="117" t="str">
        <f t="shared" si="7"/>
        <v/>
      </c>
      <c r="AC66" s="115" t="str">
        <f>IF(ISBLANK($B66),"",VLOOKUP($B66,'Eingabe Zeiten'!CK:DJ,14,0))</f>
        <v>14:31:37,50</v>
      </c>
      <c r="AD66" s="116" t="str">
        <f>IF(ISBLANK($B66),"",VLOOKUP($B66,'Eingabe Zeiten'!CK:DJ,15,0))</f>
        <v>14:37:42,49</v>
      </c>
      <c r="AE66" s="279">
        <f t="shared" si="8"/>
        <v>4.224421296296299E-3</v>
      </c>
      <c r="AF66" s="132" t="str">
        <f>IF(ISBLANK($B66),"",VLOOKUP($B66,'Eingabe Zeiten'!CK:DJ,16,0))</f>
        <v>0:0:0,0</v>
      </c>
      <c r="AG66" s="117" t="str">
        <f t="shared" si="9"/>
        <v/>
      </c>
      <c r="AH66" s="115" t="str">
        <f>IF(ISBLANK($B66),"",VLOOKUP($B66,'Eingabe Zeiten'!CK:DJ,18,0))</f>
        <v>15:7:52,61</v>
      </c>
      <c r="AI66" s="116" t="str">
        <f>IF(ISBLANK($B66),"",VLOOKUP($B66,'Eingabe Zeiten'!CK:DJ,19,0))</f>
        <v>15:12:51,79</v>
      </c>
      <c r="AJ66" s="279">
        <f t="shared" si="10"/>
        <v>3.4627314814814625E-3</v>
      </c>
      <c r="AK66" s="132" t="str">
        <f>IF(ISBLANK($B66),"",VLOOKUP($B66,'Eingabe Zeiten'!CK:DJ,20,0))</f>
        <v>0:0:0,0</v>
      </c>
      <c r="AL66" s="117" t="str">
        <f t="shared" si="11"/>
        <v/>
      </c>
      <c r="AM66" s="115" t="str">
        <f>IF(ISBLANK($B66),"",VLOOKUP($B66,'Eingabe Zeiten'!CK:DJ,22,0))</f>
        <v>0:0:0,0</v>
      </c>
      <c r="AN66" s="116" t="str">
        <f>IF(ISBLANK($B66),"",VLOOKUP($B66,'Eingabe Zeiten'!CK:DJ,23,0))</f>
        <v>0:0:0,0</v>
      </c>
      <c r="AO66" s="279">
        <f t="shared" si="16"/>
        <v>0</v>
      </c>
      <c r="AP66" s="132" t="str">
        <f>IF(ISBLANK($B66),"",VLOOKUP($B66,'Eingabe Zeiten'!CK:DJ,24,0))</f>
        <v>0:0:0,0</v>
      </c>
      <c r="AQ66" s="117" t="str">
        <f t="shared" si="13"/>
        <v/>
      </c>
      <c r="AR66" s="136" t="str">
        <f>IF(ISBLANK($B66),"",VLOOKUP($B66,'Eingabe Zeiten'!CK:DJ,26,0))</f>
        <v>0:0:0,0</v>
      </c>
      <c r="AS66" s="213"/>
      <c r="AT66" s="279">
        <f t="shared" si="18"/>
        <v>1.9389004629629503E-2</v>
      </c>
      <c r="AU66" s="139">
        <f t="shared" si="19"/>
        <v>0</v>
      </c>
      <c r="AV66" s="224">
        <f t="shared" si="17"/>
        <v>1.9389004629629503E-2</v>
      </c>
    </row>
    <row r="67" spans="2:48" ht="33.75">
      <c r="B67" s="118">
        <v>61</v>
      </c>
      <c r="C67" s="275">
        <f>IF(ISBLANK($B67),"",VLOOKUP($B67,Teilnehmer!$B$4:$K$199,2,0))</f>
        <v>1</v>
      </c>
      <c r="D67" s="276">
        <f>IF(ISBLANK($B67),"",VLOOKUP($B67,Teilnehmer!$B$4:$K$199,3,0))</f>
        <v>4</v>
      </c>
      <c r="E67" s="93" t="str">
        <f>IF(ISBLANK($B67),"",VLOOKUP($B67,Teilnehmer!$B$4:$K$199,4,0))</f>
        <v>Schulze Enrico</v>
      </c>
      <c r="F67" s="285">
        <f>IF(ISBLANK($B67),"",VLOOKUP($B67,Teilnehmer!$B$4:$K$199,5,0))</f>
        <v>15209</v>
      </c>
      <c r="G67" s="288" t="str">
        <f>IF(ISBLANK($B67),"",VLOOKUP($B67,Teilnehmer!$B$4:$K$199,6,0))</f>
        <v>Boxenstop Regensburg</v>
      </c>
      <c r="H67" s="93" t="str">
        <f>IF(ISBLANK($B67),"",VLOOKUP($B67,Teilnehmer!$B$4:$K$199,7,0))</f>
        <v>Lockstet Sebastian</v>
      </c>
      <c r="I67" s="285">
        <f>IF(ISBLANK($B67),"",VLOOKUP($B67,Teilnehmer!$B$4:$K$199,8,0))</f>
        <v>14869</v>
      </c>
      <c r="J67" s="289" t="str">
        <f>IF(ISBLANK($B67),"",VLOOKUP($B67,Teilnehmer!$B$4:$K$199,9,0))</f>
        <v>VEB Konsum Genossenschaft Mücheln</v>
      </c>
      <c r="K67" s="180" t="str">
        <f>IF(ISBLANK($B67),"",VLOOKUP($B67,Teilnehmer!$B$4:$K$199,10,0))</f>
        <v>Subaru Impreza</v>
      </c>
      <c r="L67" s="212"/>
      <c r="M67" s="226">
        <f t="shared" ref="M67:M77" si="20">IF(ISBLANK($B67),"",B67)</f>
        <v>61</v>
      </c>
      <c r="N67" s="115" t="str">
        <f>IF(ISBLANK($B67),"",VLOOKUP($B67,'Eingabe Zeiten'!CK:DJ,2,0))</f>
        <v>11:58:7,70</v>
      </c>
      <c r="O67" s="116" t="str">
        <f>IF(ISBLANK($B67),"",VLOOKUP($B67,'Eingabe Zeiten'!CK:DJ,3,0))</f>
        <v>12:4:15,11</v>
      </c>
      <c r="P67" s="279">
        <f t="shared" ref="P67:P77" si="21">IF(ISBLANK($B67),"",O67-N67)</f>
        <v>4.2524305555555753E-3</v>
      </c>
      <c r="Q67" s="132" t="str">
        <f>IF(ISBLANK($B67),"",VLOOKUP($B67,'Eingabe Zeiten'!CK:DJ,4,0))</f>
        <v>0:0:0,0</v>
      </c>
      <c r="R67" s="117" t="str">
        <f t="shared" ref="R67:R77" si="22">IF(OR(ISBLANK($B67),P67="ADW"),"",IF(P67&gt;$O$4,"X",""))</f>
        <v/>
      </c>
      <c r="S67" s="115" t="str">
        <f>IF(ISBLANK($B67),"",VLOOKUP($B67,'Eingabe Zeiten'!CK:DJ,6,0))</f>
        <v>12:57:10,89</v>
      </c>
      <c r="T67" s="116" t="str">
        <f>IF(ISBLANK($B67),"",VLOOKUP($B67,'Eingabe Zeiten'!CK:DJ,7,0))</f>
        <v>13:3:56,66</v>
      </c>
      <c r="U67" s="279">
        <f t="shared" ref="U67:U77" si="23">IF(ISBLANK($B67),"",T67-S67)</f>
        <v>4.6964120370370788E-3</v>
      </c>
      <c r="V67" s="132" t="str">
        <f>IF(ISBLANK($B67),"",VLOOKUP($B67,'Eingabe Zeiten'!CK:DJ,8,0))</f>
        <v>0:0:0,0</v>
      </c>
      <c r="W67" s="117" t="str">
        <f t="shared" ref="W67:W77" si="24">IF(OR(ISBLANK($B67),U67="ADW"),"",IF(U67&gt;$T$4,"X",""))</f>
        <v/>
      </c>
      <c r="X67" s="115" t="str">
        <f>IF(ISBLANK($B67),"",VLOOKUP($B67,'Eingabe Zeiten'!CK:DJ,10,0))</f>
        <v>14:8:55,71</v>
      </c>
      <c r="Y67" s="116" t="str">
        <f>IF(ISBLANK($B67),"",VLOOKUP($B67,'Eingabe Zeiten'!CK:DJ,11,0))</f>
        <v>14:14:56,71</v>
      </c>
      <c r="Z67" s="279">
        <f t="shared" ref="Z67:Z77" si="25">IF(ISBLANK($B67),"",Y67-X67)</f>
        <v>4.1782407407406907E-3</v>
      </c>
      <c r="AA67" s="132" t="str">
        <f>IF(ISBLANK($B67),"",VLOOKUP($B67,'Eingabe Zeiten'!CK:DJ,12,0))</f>
        <v>0:0:0,0</v>
      </c>
      <c r="AB67" s="117" t="str">
        <f t="shared" ref="AB67:AB77" si="26">IF(OR(ISBLANK($B67),Z67="ADW"),"",IF(Z67&gt;$Y$4,"X",""))</f>
        <v/>
      </c>
      <c r="AC67" s="115" t="str">
        <f>IF(ISBLANK($B67),"",VLOOKUP($B67,'Eingabe Zeiten'!CK:DJ,14,0))</f>
        <v>15:31:39,72</v>
      </c>
      <c r="AD67" s="116" t="str">
        <f>IF(ISBLANK($B67),"",VLOOKUP($B67,'Eingabe Zeiten'!CK:DJ,15,0))</f>
        <v>15:38:10,18</v>
      </c>
      <c r="AE67" s="279">
        <f t="shared" ref="AE67:AE77" si="27">IF(ISBLANK($B67),"",AD67-AC67)</f>
        <v>4.5192129629628708E-3</v>
      </c>
      <c r="AF67" s="132" t="str">
        <f>IF(ISBLANK($B67),"",VLOOKUP($B67,'Eingabe Zeiten'!CK:DJ,16,0))</f>
        <v>0:0:0,0</v>
      </c>
      <c r="AG67" s="117" t="str">
        <f t="shared" ref="AG67:AG77" si="28">IF(OR(ISBLANK($B67),AE67="ADW"),"",IF(AE67&gt;$AD$4,"X",""))</f>
        <v/>
      </c>
      <c r="AH67" s="115" t="str">
        <f>IF(ISBLANK($B67),"",VLOOKUP($B67,'Eingabe Zeiten'!CK:DJ,18,0))</f>
        <v>16:6:15,3</v>
      </c>
      <c r="AI67" s="116" t="str">
        <f>IF(ISBLANK($B67),"",VLOOKUP($B67,'Eingabe Zeiten'!CK:DJ,19,0))</f>
        <v>16:12:14,54</v>
      </c>
      <c r="AJ67" s="279">
        <f t="shared" ref="AJ67:AJ77" si="29">IF(ISBLANK($B67),"",AI67-AH67)</f>
        <v>4.1578703703702979E-3</v>
      </c>
      <c r="AK67" s="132" t="str">
        <f>IF(ISBLANK($B67),"",VLOOKUP($B67,'Eingabe Zeiten'!CK:DJ,20,0))</f>
        <v>0:0:30,0</v>
      </c>
      <c r="AL67" s="117" t="str">
        <f t="shared" ref="AL67:AL77" si="30">IF(OR(ISBLANK($B67),AJ67="ADW"),"",IF(AJ67&gt;$AI$4,"X",""))</f>
        <v/>
      </c>
      <c r="AM67" s="115" t="str">
        <f>IF(ISBLANK($B67),"",VLOOKUP($B67,'Eingabe Zeiten'!CK:DJ,22,0))</f>
        <v>0:0:0,0</v>
      </c>
      <c r="AN67" s="116" t="str">
        <f>IF(ISBLANK($B67),"",VLOOKUP($B67,'Eingabe Zeiten'!CK:DJ,23,0))</f>
        <v>0:0:0,0</v>
      </c>
      <c r="AO67" s="279">
        <f t="shared" ref="AO67:AO77" si="31">IF(ISBLANK($B67),"",AN67-AM67)</f>
        <v>0</v>
      </c>
      <c r="AP67" s="132" t="str">
        <f>IF(ISBLANK($B67),"",VLOOKUP($B67,'Eingabe Zeiten'!CK:DJ,24,0))</f>
        <v>0:0:0,0</v>
      </c>
      <c r="AQ67" s="117" t="str">
        <f t="shared" ref="AQ67:AQ77" si="32">IF(OR(ISBLANK($B67),AO67="ADW"),"",IF(AO67&gt;$AN$4,"X",""))</f>
        <v/>
      </c>
      <c r="AR67" s="136" t="str">
        <f>IF(ISBLANK($B67),"",VLOOKUP($B67,'Eingabe Zeiten'!CK:DJ,26,0))</f>
        <v>0:0:0,0</v>
      </c>
      <c r="AS67" s="213"/>
      <c r="AT67" s="279">
        <f t="shared" ref="AT67:AT77" si="33">IF(ISBLANK($B67),"",P67+U67+Z67+AE67+AJ67+AO67)</f>
        <v>2.1804166666666513E-2</v>
      </c>
      <c r="AU67" s="139">
        <f t="shared" ref="AU67:AU77" si="34">IF(ISBLANK($B67),"",Q67+V67+AA67+AF67+AR67+AK67+AP67)</f>
        <v>3.4722222222222224E-4</v>
      </c>
      <c r="AV67" s="224">
        <f t="shared" ref="AV67:AV77" si="35">IF(ISBLANK($B67),"",AT67+AU67)</f>
        <v>2.2151388888888734E-2</v>
      </c>
    </row>
    <row r="68" spans="2:48" ht="28.5">
      <c r="B68" s="118">
        <v>62</v>
      </c>
      <c r="C68" s="275">
        <f>IF(ISBLANK($B68),"",VLOOKUP($B68,Teilnehmer!$B$4:$K$199,2,0))</f>
        <v>1</v>
      </c>
      <c r="D68" s="276">
        <f>IF(ISBLANK($B68),"",VLOOKUP($B68,Teilnehmer!$B$4:$K$199,3,0))</f>
        <v>4</v>
      </c>
      <c r="E68" s="93" t="str">
        <f>IF(ISBLANK($B68),"",VLOOKUP($B68,Teilnehmer!$B$4:$K$199,4,0))</f>
        <v>Neumaier Martin</v>
      </c>
      <c r="F68" s="285">
        <f>IF(ISBLANK($B68),"",VLOOKUP($B68,Teilnehmer!$B$4:$K$199,5,0))</f>
        <v>16132</v>
      </c>
      <c r="G68" s="288" t="str">
        <f>IF(ISBLANK($B68),"",VLOOKUP($B68,Teilnehmer!$B$4:$K$199,6,0))</f>
        <v>MSC Mamming</v>
      </c>
      <c r="H68" s="93" t="str">
        <f>IF(ISBLANK($B68),"",VLOOKUP($B68,Teilnehmer!$B$4:$K$199,7,0))</f>
        <v>Neumaier Martina</v>
      </c>
      <c r="I68" s="285">
        <f>IF(ISBLANK($B68),"",VLOOKUP($B68,Teilnehmer!$B$4:$K$199,8,0))</f>
        <v>16297</v>
      </c>
      <c r="J68" s="289" t="str">
        <f>IF(ISBLANK($B68),"",VLOOKUP($B68,Teilnehmer!$B$4:$K$199,9,0))</f>
        <v>MSC Mamming</v>
      </c>
      <c r="K68" s="180" t="str">
        <f>IF(ISBLANK($B68),"",VLOOKUP($B68,Teilnehmer!$B$4:$K$199,10,0))</f>
        <v>VW Golf II 16V</v>
      </c>
      <c r="L68" s="212"/>
      <c r="M68" s="226">
        <f t="shared" si="20"/>
        <v>62</v>
      </c>
      <c r="N68" s="115" t="str">
        <f>IF(ISBLANK($B68),"",VLOOKUP($B68,'Eingabe Zeiten'!CK:DJ,2,0))</f>
        <v>11:59:9,66</v>
      </c>
      <c r="O68" s="116" t="str">
        <f>IF(ISBLANK($B68),"",VLOOKUP($B68,'Eingabe Zeiten'!CK:DJ,3,0))</f>
        <v>12:5:13,53</v>
      </c>
      <c r="P68" s="279">
        <f t="shared" si="21"/>
        <v>4.2114583333332511E-3</v>
      </c>
      <c r="Q68" s="132" t="str">
        <f>IF(ISBLANK($B68),"",VLOOKUP($B68,'Eingabe Zeiten'!CK:DJ,4,0))</f>
        <v>0:0:0,0</v>
      </c>
      <c r="R68" s="117" t="str">
        <f t="shared" si="22"/>
        <v/>
      </c>
      <c r="S68" s="115" t="str">
        <f>IF(ISBLANK($B68),"",VLOOKUP($B68,'Eingabe Zeiten'!CK:DJ,6,0))</f>
        <v>12:57:33,21</v>
      </c>
      <c r="T68" s="116" t="str">
        <f>IF(ISBLANK($B68),"",VLOOKUP($B68,'Eingabe Zeiten'!CK:DJ,7,0))</f>
        <v>13:4:1,89</v>
      </c>
      <c r="U68" s="279">
        <f t="shared" si="23"/>
        <v>4.4986111111111615E-3</v>
      </c>
      <c r="V68" s="132" t="str">
        <f>IF(ISBLANK($B68),"",VLOOKUP($B68,'Eingabe Zeiten'!CK:DJ,8,0))</f>
        <v>0:0:0,0</v>
      </c>
      <c r="W68" s="117" t="str">
        <f t="shared" si="24"/>
        <v/>
      </c>
      <c r="X68" s="115" t="str">
        <f>IF(ISBLANK($B68),"",VLOOKUP($B68,'Eingabe Zeiten'!CK:DJ,10,0))</f>
        <v>14:10:38,57</v>
      </c>
      <c r="Y68" s="116" t="str">
        <f>IF(ISBLANK($B68),"",VLOOKUP($B68,'Eingabe Zeiten'!CK:DJ,11,0))</f>
        <v>14:16:35,23</v>
      </c>
      <c r="Z68" s="279">
        <f t="shared" si="25"/>
        <v>4.1280092592593798E-3</v>
      </c>
      <c r="AA68" s="132" t="str">
        <f>IF(ISBLANK($B68),"",VLOOKUP($B68,'Eingabe Zeiten'!CK:DJ,12,0))</f>
        <v>0:0:0,0</v>
      </c>
      <c r="AB68" s="117" t="str">
        <f t="shared" si="26"/>
        <v/>
      </c>
      <c r="AC68" s="115" t="str">
        <f>IF(ISBLANK($B68),"",VLOOKUP($B68,'Eingabe Zeiten'!CK:DJ,14,0))</f>
        <v>15:36:25,21</v>
      </c>
      <c r="AD68" s="116" t="str">
        <f>IF(ISBLANK($B68),"",VLOOKUP($B68,'Eingabe Zeiten'!CK:DJ,15,0))</f>
        <v>15:42:41,17</v>
      </c>
      <c r="AE68" s="279">
        <f t="shared" si="27"/>
        <v>4.351388888888863E-3</v>
      </c>
      <c r="AF68" s="132" t="str">
        <f>IF(ISBLANK($B68),"",VLOOKUP($B68,'Eingabe Zeiten'!CK:DJ,16,0))</f>
        <v>0:0:0,0</v>
      </c>
      <c r="AG68" s="117" t="str">
        <f t="shared" si="28"/>
        <v/>
      </c>
      <c r="AH68" s="115" t="str">
        <f>IF(ISBLANK($B68),"",VLOOKUP($B68,'Eingabe Zeiten'!CK:DJ,18,0))</f>
        <v>16:7:36,23</v>
      </c>
      <c r="AI68" s="116" t="str">
        <f>IF(ISBLANK($B68),"",VLOOKUP($B68,'Eingabe Zeiten'!CK:DJ,19,0))</f>
        <v>16:13:32,71</v>
      </c>
      <c r="AJ68" s="279">
        <f t="shared" si="29"/>
        <v>4.1259259259258663E-3</v>
      </c>
      <c r="AK68" s="132" t="str">
        <f>IF(ISBLANK($B68),"",VLOOKUP($B68,'Eingabe Zeiten'!CK:DJ,20,0))</f>
        <v>0:0:0,0</v>
      </c>
      <c r="AL68" s="117" t="str">
        <f t="shared" si="30"/>
        <v/>
      </c>
      <c r="AM68" s="115" t="str">
        <f>IF(ISBLANK($B68),"",VLOOKUP($B68,'Eingabe Zeiten'!CK:DJ,22,0))</f>
        <v>0:0:0,0</v>
      </c>
      <c r="AN68" s="116" t="str">
        <f>IF(ISBLANK($B68),"",VLOOKUP($B68,'Eingabe Zeiten'!CK:DJ,23,0))</f>
        <v>0:0:0,0</v>
      </c>
      <c r="AO68" s="279">
        <f t="shared" si="31"/>
        <v>0</v>
      </c>
      <c r="AP68" s="132" t="str">
        <f>IF(ISBLANK($B68),"",VLOOKUP($B68,'Eingabe Zeiten'!CK:DJ,24,0))</f>
        <v>0:0:0,0</v>
      </c>
      <c r="AQ68" s="117" t="str">
        <f t="shared" si="32"/>
        <v/>
      </c>
      <c r="AR68" s="136" t="str">
        <f>IF(ISBLANK($B68),"",VLOOKUP($B68,'Eingabe Zeiten'!CK:DJ,26,0))</f>
        <v>0:0:0,0</v>
      </c>
      <c r="AS68" s="213"/>
      <c r="AT68" s="279">
        <f t="shared" si="33"/>
        <v>2.1315393518518522E-2</v>
      </c>
      <c r="AU68" s="139">
        <f t="shared" si="34"/>
        <v>0</v>
      </c>
      <c r="AV68" s="224">
        <f t="shared" si="35"/>
        <v>2.1315393518518522E-2</v>
      </c>
    </row>
    <row r="69" spans="2:48" ht="28.5">
      <c r="B69" s="118">
        <v>63</v>
      </c>
      <c r="C69" s="275">
        <f>IF(ISBLANK($B69),"",VLOOKUP($B69,Teilnehmer!$B$4:$K$199,2,0))</f>
        <v>1</v>
      </c>
      <c r="D69" s="276">
        <f>IF(ISBLANK($B69),"",VLOOKUP($B69,Teilnehmer!$B$4:$K$199,3,0))</f>
        <v>4</v>
      </c>
      <c r="E69" s="93" t="str">
        <f>IF(ISBLANK($B69),"",VLOOKUP($B69,Teilnehmer!$B$4:$K$199,4,0))</f>
        <v>Schachtner Johann</v>
      </c>
      <c r="F69" s="285">
        <f>IF(ISBLANK($B69),"",VLOOKUP($B69,Teilnehmer!$B$4:$K$199,5,0))</f>
        <v>12813</v>
      </c>
      <c r="G69" s="288" t="str">
        <f>IF(ISBLANK($B69),"",VLOOKUP($B69,Teilnehmer!$B$4:$K$199,6,0))</f>
        <v>MSC Emmersdorf</v>
      </c>
      <c r="H69" s="93" t="str">
        <f>IF(ISBLANK($B69),"",VLOOKUP($B69,Teilnehmer!$B$4:$K$199,7,0))</f>
        <v>Haller Melanie</v>
      </c>
      <c r="I69" s="285">
        <f>IF(ISBLANK($B69),"",VLOOKUP($B69,Teilnehmer!$B$4:$K$199,8,0))</f>
        <v>15542</v>
      </c>
      <c r="J69" s="289" t="str">
        <f>IF(ISBLANK($B69),"",VLOOKUP($B69,Teilnehmer!$B$4:$K$199,9,0))</f>
        <v>MSC Mamming / SCC Grünthal</v>
      </c>
      <c r="K69" s="180" t="str">
        <f>IF(ISBLANK($B69),"",VLOOKUP($B69,Teilnehmer!$B$4:$K$199,10,0))</f>
        <v>Mazda MX 5</v>
      </c>
      <c r="L69" s="212"/>
      <c r="M69" s="226">
        <f t="shared" si="20"/>
        <v>63</v>
      </c>
      <c r="N69" s="115" t="str">
        <f>IF(ISBLANK($B69),"",VLOOKUP($B69,'Eingabe Zeiten'!CK:DJ,2,0))</f>
        <v>11:59:58,71</v>
      </c>
      <c r="O69" s="116" t="str">
        <f>IF(ISBLANK($B69),"",VLOOKUP($B69,'Eingabe Zeiten'!CK:DJ,3,0))</f>
        <v>12:5:49,73</v>
      </c>
      <c r="P69" s="279">
        <f t="shared" si="21"/>
        <v>4.0627314814815074E-3</v>
      </c>
      <c r="Q69" s="132" t="str">
        <f>IF(ISBLANK($B69),"",VLOOKUP($B69,'Eingabe Zeiten'!CK:DJ,4,0))</f>
        <v>0:0:0,0</v>
      </c>
      <c r="R69" s="117" t="str">
        <f t="shared" si="22"/>
        <v/>
      </c>
      <c r="S69" s="115" t="str">
        <f>IF(ISBLANK($B69),"",VLOOKUP($B69,'Eingabe Zeiten'!CK:DJ,6,0))</f>
        <v>13:2:9,28</v>
      </c>
      <c r="T69" s="116" t="str">
        <f>IF(ISBLANK($B69),"",VLOOKUP($B69,'Eingabe Zeiten'!CK:DJ,7,0))</f>
        <v>13:8:47,90</v>
      </c>
      <c r="U69" s="279">
        <f t="shared" si="23"/>
        <v>4.6136574074073788E-3</v>
      </c>
      <c r="V69" s="132" t="str">
        <f>IF(ISBLANK($B69),"",VLOOKUP($B69,'Eingabe Zeiten'!CK:DJ,8,0))</f>
        <v>0:0:0,0</v>
      </c>
      <c r="W69" s="117" t="str">
        <f t="shared" si="24"/>
        <v/>
      </c>
      <c r="X69" s="115" t="str">
        <f>IF(ISBLANK($B69),"",VLOOKUP($B69,'Eingabe Zeiten'!CK:DJ,10,0))</f>
        <v>14:11:39,93</v>
      </c>
      <c r="Y69" s="116" t="str">
        <f>IF(ISBLANK($B69),"",VLOOKUP($B69,'Eingabe Zeiten'!CK:DJ,11,0))</f>
        <v>14:17:23,82</v>
      </c>
      <c r="Z69" s="279">
        <f t="shared" si="25"/>
        <v>3.980208333333346E-3</v>
      </c>
      <c r="AA69" s="132" t="str">
        <f>IF(ISBLANK($B69),"",VLOOKUP($B69,'Eingabe Zeiten'!CK:DJ,12,0))</f>
        <v>0:0:0,0</v>
      </c>
      <c r="AB69" s="117" t="str">
        <f t="shared" si="26"/>
        <v/>
      </c>
      <c r="AC69" s="115" t="str">
        <f>IF(ISBLANK($B69),"",VLOOKUP($B69,'Eingabe Zeiten'!CK:DJ,14,0))</f>
        <v>15:36:49,83</v>
      </c>
      <c r="AD69" s="116" t="str">
        <f>IF(ISBLANK($B69),"",VLOOKUP($B69,'Eingabe Zeiten'!CK:DJ,15,0))</f>
        <v>15:43:17,24</v>
      </c>
      <c r="AE69" s="279">
        <f t="shared" si="27"/>
        <v>4.4839120370370189E-3</v>
      </c>
      <c r="AF69" s="132" t="str">
        <f>IF(ISBLANK($B69),"",VLOOKUP($B69,'Eingabe Zeiten'!CK:DJ,16,0))</f>
        <v>0:0:0,0</v>
      </c>
      <c r="AG69" s="117" t="str">
        <f t="shared" si="28"/>
        <v/>
      </c>
      <c r="AH69" s="115" t="str">
        <f>IF(ISBLANK($B69),"",VLOOKUP($B69,'Eingabe Zeiten'!CK:DJ,18,0))</f>
        <v>16:9:3,43</v>
      </c>
      <c r="AI69" s="116" t="str">
        <f>IF(ISBLANK($B69),"",VLOOKUP($B69,'Eingabe Zeiten'!CK:DJ,19,0))</f>
        <v>16:14:47,47</v>
      </c>
      <c r="AJ69" s="279">
        <f t="shared" si="29"/>
        <v>3.9819444444445518E-3</v>
      </c>
      <c r="AK69" s="132" t="str">
        <f>IF(ISBLANK($B69),"",VLOOKUP($B69,'Eingabe Zeiten'!CK:DJ,20,0))</f>
        <v>0:0:0,0</v>
      </c>
      <c r="AL69" s="117" t="str">
        <f t="shared" si="30"/>
        <v/>
      </c>
      <c r="AM69" s="115" t="str">
        <f>IF(ISBLANK($B69),"",VLOOKUP($B69,'Eingabe Zeiten'!CK:DJ,22,0))</f>
        <v>0:0:0,0</v>
      </c>
      <c r="AN69" s="116" t="str">
        <f>IF(ISBLANK($B69),"",VLOOKUP($B69,'Eingabe Zeiten'!CK:DJ,23,0))</f>
        <v>0:0:0,0</v>
      </c>
      <c r="AO69" s="279">
        <f t="shared" si="31"/>
        <v>0</v>
      </c>
      <c r="AP69" s="132" t="str">
        <f>IF(ISBLANK($B69),"",VLOOKUP($B69,'Eingabe Zeiten'!CK:DJ,24,0))</f>
        <v>0:0:0,0</v>
      </c>
      <c r="AQ69" s="117" t="str">
        <f t="shared" si="32"/>
        <v/>
      </c>
      <c r="AR69" s="136" t="str">
        <f>IF(ISBLANK($B69),"",VLOOKUP($B69,'Eingabe Zeiten'!CK:DJ,26,0))</f>
        <v>0:0:0,0</v>
      </c>
      <c r="AS69" s="213"/>
      <c r="AT69" s="279">
        <f t="shared" si="33"/>
        <v>2.1122453703703803E-2</v>
      </c>
      <c r="AU69" s="139">
        <f t="shared" si="34"/>
        <v>0</v>
      </c>
      <c r="AV69" s="224">
        <f t="shared" si="35"/>
        <v>2.1122453703703803E-2</v>
      </c>
    </row>
    <row r="70" spans="2:48" ht="28.5">
      <c r="B70" s="118">
        <v>64</v>
      </c>
      <c r="C70" s="275">
        <f>IF(ISBLANK($B70),"",VLOOKUP($B70,Teilnehmer!$B$4:$K$199,2,0))</f>
        <v>1</v>
      </c>
      <c r="D70" s="276">
        <f>IF(ISBLANK($B70),"",VLOOKUP($B70,Teilnehmer!$B$4:$K$199,3,0))</f>
        <v>4</v>
      </c>
      <c r="E70" s="93" t="str">
        <f>IF(ISBLANK($B70),"",VLOOKUP($B70,Teilnehmer!$B$4:$K$199,4,0))</f>
        <v>Leidel Stefan</v>
      </c>
      <c r="F70" s="285">
        <f>IF(ISBLANK($B70),"",VLOOKUP($B70,Teilnehmer!$B$4:$K$199,5,0))</f>
        <v>15498</v>
      </c>
      <c r="G70" s="288" t="str">
        <f>IF(ISBLANK($B70),"",VLOOKUP($B70,Teilnehmer!$B$4:$K$199,6,0))</f>
        <v>-</v>
      </c>
      <c r="H70" s="93" t="str">
        <f>IF(ISBLANK($B70),"",VLOOKUP($B70,Teilnehmer!$B$4:$K$199,7,0))</f>
        <v>Nemeth Christian</v>
      </c>
      <c r="I70" s="285">
        <f>IF(ISBLANK($B70),"",VLOOKUP($B70,Teilnehmer!$B$4:$K$199,8,0))</f>
        <v>16424</v>
      </c>
      <c r="J70" s="289" t="str">
        <f>IF(ISBLANK($B70),"",VLOOKUP($B70,Teilnehmer!$B$4:$K$199,9,0))</f>
        <v>-</v>
      </c>
      <c r="K70" s="180" t="str">
        <f>IF(ISBLANK($B70),"",VLOOKUP($B70,Teilnehmer!$B$4:$K$199,10,0))</f>
        <v>BMW E30 318IS</v>
      </c>
      <c r="L70" s="212"/>
      <c r="M70" s="226">
        <f t="shared" si="20"/>
        <v>64</v>
      </c>
      <c r="N70" s="115" t="str">
        <f>IF(ISBLANK($B70),"",VLOOKUP($B70,'Eingabe Zeiten'!CK:DJ,2,0))</f>
        <v>12:0:51,18</v>
      </c>
      <c r="O70" s="116" t="str">
        <f>IF(ISBLANK($B70),"",VLOOKUP($B70,'Eingabe Zeiten'!CK:DJ,3,0))</f>
        <v>12:7:3,76</v>
      </c>
      <c r="P70" s="279">
        <f t="shared" si="21"/>
        <v>4.3122685185185139E-3</v>
      </c>
      <c r="Q70" s="132" t="str">
        <f>IF(ISBLANK($B70),"",VLOOKUP($B70,'Eingabe Zeiten'!CK:DJ,4,0))</f>
        <v>0:0:0,0</v>
      </c>
      <c r="R70" s="117" t="str">
        <f t="shared" si="22"/>
        <v/>
      </c>
      <c r="S70" s="115" t="str">
        <f>IF(ISBLANK($B70),"",VLOOKUP($B70,'Eingabe Zeiten'!CK:DJ,6,0))</f>
        <v>13:2:28,96</v>
      </c>
      <c r="T70" s="116" t="str">
        <f>IF(ISBLANK($B70),"",VLOOKUP($B70,'Eingabe Zeiten'!CK:DJ,7,0))</f>
        <v>13:9:27,44</v>
      </c>
      <c r="U70" s="279">
        <f t="shared" si="23"/>
        <v>4.843518518518497E-3</v>
      </c>
      <c r="V70" s="132" t="str">
        <f>IF(ISBLANK($B70),"",VLOOKUP($B70,'Eingabe Zeiten'!CK:DJ,8,0))</f>
        <v>0:0:0,0</v>
      </c>
      <c r="W70" s="117" t="str">
        <f t="shared" si="24"/>
        <v/>
      </c>
      <c r="X70" s="115" t="str">
        <f>IF(ISBLANK($B70),"",VLOOKUP($B70,'Eingabe Zeiten'!CK:DJ,10,0))</f>
        <v>14:13:14,70</v>
      </c>
      <c r="Y70" s="116" t="str">
        <f>IF(ISBLANK($B70),"",VLOOKUP($B70,'Eingabe Zeiten'!CK:DJ,11,0))</f>
        <v>14:19:23,8</v>
      </c>
      <c r="Z70" s="279">
        <f t="shared" si="25"/>
        <v>4.2719907407408053E-3</v>
      </c>
      <c r="AA70" s="132" t="str">
        <f>IF(ISBLANK($B70),"",VLOOKUP($B70,'Eingabe Zeiten'!CK:DJ,12,0))</f>
        <v>0:0:0,0</v>
      </c>
      <c r="AB70" s="117" t="str">
        <f t="shared" si="26"/>
        <v/>
      </c>
      <c r="AC70" s="115" t="str">
        <f>IF(ISBLANK($B70),"",VLOOKUP($B70,'Eingabe Zeiten'!CK:DJ,14,0))</f>
        <v>15:37:5,84</v>
      </c>
      <c r="AD70" s="116" t="str">
        <f>IF(ISBLANK($B70),"",VLOOKUP($B70,'Eingabe Zeiten'!CK:DJ,15,0))</f>
        <v>15:43:53,74</v>
      </c>
      <c r="AE70" s="279">
        <f t="shared" si="27"/>
        <v>4.7210648148149348E-3</v>
      </c>
      <c r="AF70" s="132" t="str">
        <f>IF(ISBLANK($B70),"",VLOOKUP($B70,'Eingabe Zeiten'!CK:DJ,16,0))</f>
        <v>0:0:0,0</v>
      </c>
      <c r="AG70" s="117" t="str">
        <f t="shared" si="28"/>
        <v/>
      </c>
      <c r="AH70" s="115" t="str">
        <f>IF(ISBLANK($B70),"",VLOOKUP($B70,'Eingabe Zeiten'!CK:DJ,18,0))</f>
        <v>16:10:13,77</v>
      </c>
      <c r="AI70" s="116" t="str">
        <f>IF(ISBLANK($B70),"",VLOOKUP($B70,'Eingabe Zeiten'!CK:DJ,19,0))</f>
        <v>16:16:21,4</v>
      </c>
      <c r="AJ70" s="279">
        <f t="shared" si="29"/>
        <v>4.2549768518518327E-3</v>
      </c>
      <c r="AK70" s="132" t="str">
        <f>IF(ISBLANK($B70),"",VLOOKUP($B70,'Eingabe Zeiten'!CK:DJ,20,0))</f>
        <v>0:0:0,0</v>
      </c>
      <c r="AL70" s="117" t="str">
        <f t="shared" si="30"/>
        <v/>
      </c>
      <c r="AM70" s="115" t="str">
        <f>IF(ISBLANK($B70),"",VLOOKUP($B70,'Eingabe Zeiten'!CK:DJ,22,0))</f>
        <v>0:0:0,0</v>
      </c>
      <c r="AN70" s="116" t="str">
        <f>IF(ISBLANK($B70),"",VLOOKUP($B70,'Eingabe Zeiten'!CK:DJ,23,0))</f>
        <v>0:0:0,0</v>
      </c>
      <c r="AO70" s="279">
        <f t="shared" si="31"/>
        <v>0</v>
      </c>
      <c r="AP70" s="132" t="str">
        <f>IF(ISBLANK($B70),"",VLOOKUP($B70,'Eingabe Zeiten'!CK:DJ,24,0))</f>
        <v>0:0:0,0</v>
      </c>
      <c r="AQ70" s="117" t="str">
        <f t="shared" si="32"/>
        <v/>
      </c>
      <c r="AR70" s="136" t="str">
        <f>IF(ISBLANK($B70),"",VLOOKUP($B70,'Eingabe Zeiten'!CK:DJ,26,0))</f>
        <v>0:0:0,0</v>
      </c>
      <c r="AS70" s="213"/>
      <c r="AT70" s="279">
        <f t="shared" si="33"/>
        <v>2.2403819444444584E-2</v>
      </c>
      <c r="AU70" s="139">
        <f t="shared" si="34"/>
        <v>0</v>
      </c>
      <c r="AV70" s="224">
        <f t="shared" si="35"/>
        <v>2.2403819444444584E-2</v>
      </c>
    </row>
    <row r="71" spans="2:48" ht="15">
      <c r="B71" s="118">
        <v>65</v>
      </c>
      <c r="C71" s="275">
        <f>IF(ISBLANK($B71),"",VLOOKUP($B71,Teilnehmer!$B$4:$K$199,2,0))</f>
        <v>1</v>
      </c>
      <c r="D71" s="276">
        <f>IF(ISBLANK($B71),"",VLOOKUP($B71,Teilnehmer!$B$4:$K$199,3,0))</f>
        <v>4</v>
      </c>
      <c r="E71" s="93" t="str">
        <f>IF(ISBLANK($B71),"",VLOOKUP($B71,Teilnehmer!$B$4:$K$199,4,0))</f>
        <v>Meier Georg</v>
      </c>
      <c r="F71" s="285">
        <f>IF(ISBLANK($B71),"",VLOOKUP($B71,Teilnehmer!$B$4:$K$199,5,0))</f>
        <v>16425</v>
      </c>
      <c r="G71" s="288" t="str">
        <f>IF(ISBLANK($B71),"",VLOOKUP($B71,Teilnehmer!$B$4:$K$199,6,0))</f>
        <v>SWF Weidwies</v>
      </c>
      <c r="H71" s="93" t="str">
        <f>IF(ISBLANK($B71),"",VLOOKUP($B71,Teilnehmer!$B$4:$K$199,7,0))</f>
        <v>Eder Markus</v>
      </c>
      <c r="I71" s="285">
        <f>IF(ISBLANK($B71),"",VLOOKUP($B71,Teilnehmer!$B$4:$K$199,8,0))</f>
        <v>16426</v>
      </c>
      <c r="J71" s="289" t="str">
        <f>IF(ISBLANK($B71),"",VLOOKUP($B71,Teilnehmer!$B$4:$K$199,9,0))</f>
        <v>SWF Weidwies</v>
      </c>
      <c r="K71" s="180" t="str">
        <f>IF(ISBLANK($B71),"",VLOOKUP($B71,Teilnehmer!$B$4:$K$199,10,0))</f>
        <v>BMW 318ti</v>
      </c>
      <c r="L71" s="212"/>
      <c r="M71" s="226">
        <f t="shared" si="20"/>
        <v>65</v>
      </c>
      <c r="N71" s="115" t="str">
        <f>IF(ISBLANK($B71),"",VLOOKUP($B71,'Eingabe Zeiten'!CK:DJ,2,0))</f>
        <v>12:1:55,67</v>
      </c>
      <c r="O71" s="116" t="str">
        <f>IF(ISBLANK($B71),"",VLOOKUP($B71,'Eingabe Zeiten'!CK:DJ,3,0))</f>
        <v>12:7:58,28</v>
      </c>
      <c r="P71" s="279">
        <f t="shared" si="21"/>
        <v>4.1968749999999888E-3</v>
      </c>
      <c r="Q71" s="132" t="str">
        <f>IF(ISBLANK($B71),"",VLOOKUP($B71,'Eingabe Zeiten'!CK:DJ,4,0))</f>
        <v>0:0:0,0</v>
      </c>
      <c r="R71" s="117" t="str">
        <f t="shared" si="22"/>
        <v/>
      </c>
      <c r="S71" s="115" t="str">
        <f>IF(ISBLANK($B71),"",VLOOKUP($B71,'Eingabe Zeiten'!CK:DJ,6,0))</f>
        <v>13:2:45,23</v>
      </c>
      <c r="T71" s="116" t="str">
        <f>IF(ISBLANK($B71),"",VLOOKUP($B71,'Eingabe Zeiten'!CK:DJ,7,0))</f>
        <v>13:9:16,48</v>
      </c>
      <c r="U71" s="279">
        <f t="shared" si="23"/>
        <v>4.5283564814815325E-3</v>
      </c>
      <c r="V71" s="132" t="str">
        <f>IF(ISBLANK($B71),"",VLOOKUP($B71,'Eingabe Zeiten'!CK:DJ,8,0))</f>
        <v>0:0:0,0</v>
      </c>
      <c r="W71" s="117" t="str">
        <f t="shared" si="24"/>
        <v/>
      </c>
      <c r="X71" s="115" t="str">
        <f>IF(ISBLANK($B71),"",VLOOKUP($B71,'Eingabe Zeiten'!CK:DJ,10,0))</f>
        <v>14:14:9,51</v>
      </c>
      <c r="Y71" s="116" t="str">
        <f>IF(ISBLANK($B71),"",VLOOKUP($B71,'Eingabe Zeiten'!CK:DJ,11,0))</f>
        <v>14:20:1,57</v>
      </c>
      <c r="Z71" s="279">
        <f t="shared" si="25"/>
        <v>4.0747685185185123E-3</v>
      </c>
      <c r="AA71" s="132" t="str">
        <f>IF(ISBLANK($B71),"",VLOOKUP($B71,'Eingabe Zeiten'!CK:DJ,12,0))</f>
        <v>0:0:0,0</v>
      </c>
      <c r="AB71" s="117" t="str">
        <f t="shared" si="26"/>
        <v/>
      </c>
      <c r="AC71" s="115" t="str">
        <f>IF(ISBLANK($B71),"",VLOOKUP($B71,'Eingabe Zeiten'!CK:DJ,14,0))</f>
        <v>15:37:25,75</v>
      </c>
      <c r="AD71" s="116" t="str">
        <f>IF(ISBLANK($B71),"",VLOOKUP($B71,'Eingabe Zeiten'!CK:DJ,15,0))</f>
        <v>15:43:38,87</v>
      </c>
      <c r="AE71" s="279">
        <f t="shared" si="27"/>
        <v>4.3185185185186103E-3</v>
      </c>
      <c r="AF71" s="132" t="str">
        <f>IF(ISBLANK($B71),"",VLOOKUP($B71,'Eingabe Zeiten'!CK:DJ,16,0))</f>
        <v>0:0:0,0</v>
      </c>
      <c r="AG71" s="117" t="str">
        <f t="shared" si="28"/>
        <v/>
      </c>
      <c r="AH71" s="115" t="str">
        <f>IF(ISBLANK($B71),"",VLOOKUP($B71,'Eingabe Zeiten'!CK:DJ,18,0))</f>
        <v>16:11:33,11</v>
      </c>
      <c r="AI71" s="116" t="str">
        <f>IF(ISBLANK($B71),"",VLOOKUP($B71,'Eingabe Zeiten'!CK:DJ,19,0))</f>
        <v>16:17:23,39</v>
      </c>
      <c r="AJ71" s="279">
        <f t="shared" si="29"/>
        <v>4.054166666666692E-3</v>
      </c>
      <c r="AK71" s="132" t="str">
        <f>IF(ISBLANK($B71),"",VLOOKUP($B71,'Eingabe Zeiten'!CK:DJ,20,0))</f>
        <v>0:0:0,0</v>
      </c>
      <c r="AL71" s="117" t="str">
        <f t="shared" si="30"/>
        <v/>
      </c>
      <c r="AM71" s="115" t="str">
        <f>IF(ISBLANK($B71),"",VLOOKUP($B71,'Eingabe Zeiten'!CK:DJ,22,0))</f>
        <v>0:0:0,0</v>
      </c>
      <c r="AN71" s="116" t="str">
        <f>IF(ISBLANK($B71),"",VLOOKUP($B71,'Eingabe Zeiten'!CK:DJ,23,0))</f>
        <v>0:0:0,0</v>
      </c>
      <c r="AO71" s="279">
        <f t="shared" si="31"/>
        <v>0</v>
      </c>
      <c r="AP71" s="132" t="str">
        <f>IF(ISBLANK($B71),"",VLOOKUP($B71,'Eingabe Zeiten'!CK:DJ,24,0))</f>
        <v>0:0:0,0</v>
      </c>
      <c r="AQ71" s="117" t="str">
        <f t="shared" si="32"/>
        <v/>
      </c>
      <c r="AR71" s="136" t="str">
        <f>IF(ISBLANK($B71),"",VLOOKUP($B71,'Eingabe Zeiten'!CK:DJ,26,0))</f>
        <v>0:0:0,0</v>
      </c>
      <c r="AS71" s="213"/>
      <c r="AT71" s="279">
        <f t="shared" si="33"/>
        <v>2.1172685185185336E-2</v>
      </c>
      <c r="AU71" s="139">
        <f t="shared" si="34"/>
        <v>0</v>
      </c>
      <c r="AV71" s="224">
        <f t="shared" si="35"/>
        <v>2.1172685185185336E-2</v>
      </c>
    </row>
    <row r="72" spans="2:48" ht="28.5">
      <c r="B72" s="118">
        <v>66</v>
      </c>
      <c r="C72" s="275">
        <f>IF(ISBLANK($B72),"",VLOOKUP($B72,Teilnehmer!$B$4:$K$199,2,0))</f>
        <v>1</v>
      </c>
      <c r="D72" s="276">
        <f>IF(ISBLANK($B72),"",VLOOKUP($B72,Teilnehmer!$B$4:$K$199,3,0))</f>
        <v>4</v>
      </c>
      <c r="E72" s="93" t="str">
        <f>IF(ISBLANK($B72),"",VLOOKUP($B72,Teilnehmer!$B$4:$K$199,4,0))</f>
        <v>Oberneder Josef</v>
      </c>
      <c r="F72" s="285">
        <f>IF(ISBLANK($B72),"",VLOOKUP($B72,Teilnehmer!$B$4:$K$199,5,0))</f>
        <v>14172</v>
      </c>
      <c r="G72" s="288" t="str">
        <f>IF(ISBLANK($B72),"",VLOOKUP($B72,Teilnehmer!$B$4:$K$199,6,0))</f>
        <v>SWF Weidwies</v>
      </c>
      <c r="H72" s="93" t="str">
        <f>IF(ISBLANK($B72),"",VLOOKUP($B72,Teilnehmer!$B$4:$K$199,7,0))</f>
        <v>Krenn Christina</v>
      </c>
      <c r="I72" s="285">
        <f>IF(ISBLANK($B72),"",VLOOKUP($B72,Teilnehmer!$B$4:$K$199,8,0))</f>
        <v>14748</v>
      </c>
      <c r="J72" s="289" t="str">
        <f>IF(ISBLANK($B72),"",VLOOKUP($B72,Teilnehmer!$B$4:$K$199,9,0))</f>
        <v>SWF Weidwies</v>
      </c>
      <c r="K72" s="180" t="str">
        <f>IF(ISBLANK($B72),"",VLOOKUP($B72,Teilnehmer!$B$4:$K$199,10,0))</f>
        <v>VW Golf 2</v>
      </c>
      <c r="L72" s="212"/>
      <c r="M72" s="226">
        <f t="shared" si="20"/>
        <v>66</v>
      </c>
      <c r="N72" s="115" t="str">
        <f>IF(ISBLANK($B72),"",VLOOKUP($B72,'Eingabe Zeiten'!CK:DJ,2,0))</f>
        <v>12:2:30,34</v>
      </c>
      <c r="O72" s="116" t="str">
        <f>IF(ISBLANK($B72),"",VLOOKUP($B72,'Eingabe Zeiten'!CK:DJ,3,0))</f>
        <v>12:8:37,1</v>
      </c>
      <c r="P72" s="279">
        <f t="shared" si="21"/>
        <v>4.2449074074074611E-3</v>
      </c>
      <c r="Q72" s="132" t="str">
        <f>IF(ISBLANK($B72),"",VLOOKUP($B72,'Eingabe Zeiten'!CK:DJ,4,0))</f>
        <v>0:0:0,0</v>
      </c>
      <c r="R72" s="117" t="str">
        <f t="shared" si="22"/>
        <v/>
      </c>
      <c r="S72" s="115" t="str">
        <f>IF(ISBLANK($B72),"",VLOOKUP($B72,'Eingabe Zeiten'!CK:DJ,6,0))</f>
        <v>13:3:4,43</v>
      </c>
      <c r="T72" s="116" t="str">
        <f>IF(ISBLANK($B72),"",VLOOKUP($B72,'Eingabe Zeiten'!CK:DJ,7,0))</f>
        <v>13:9:42,12</v>
      </c>
      <c r="U72" s="279">
        <f t="shared" si="23"/>
        <v>4.6028935185185027E-3</v>
      </c>
      <c r="V72" s="132" t="str">
        <f>IF(ISBLANK($B72),"",VLOOKUP($B72,'Eingabe Zeiten'!CK:DJ,8,0))</f>
        <v>0:0:0,0</v>
      </c>
      <c r="W72" s="117" t="str">
        <f t="shared" si="24"/>
        <v/>
      </c>
      <c r="X72" s="115" t="str">
        <f>IF(ISBLANK($B72),"",VLOOKUP($B72,'Eingabe Zeiten'!CK:DJ,10,0))</f>
        <v>14:14:44,47</v>
      </c>
      <c r="Y72" s="116" t="str">
        <f>IF(ISBLANK($B72),"",VLOOKUP($B72,'Eingabe Zeiten'!CK:DJ,11,0))</f>
        <v>14:20:47,78</v>
      </c>
      <c r="Z72" s="279">
        <f t="shared" si="25"/>
        <v>4.2049768518518382E-3</v>
      </c>
      <c r="AA72" s="132" t="str">
        <f>IF(ISBLANK($B72),"",VLOOKUP($B72,'Eingabe Zeiten'!CK:DJ,12,0))</f>
        <v>0:0:0,0</v>
      </c>
      <c r="AB72" s="117" t="str">
        <f t="shared" si="26"/>
        <v/>
      </c>
      <c r="AC72" s="115" t="str">
        <f>IF(ISBLANK($B72),"",VLOOKUP($B72,'Eingabe Zeiten'!CK:DJ,14,0))</f>
        <v>15:42:0,15</v>
      </c>
      <c r="AD72" s="116" t="str">
        <f>IF(ISBLANK($B72),"",VLOOKUP($B72,'Eingabe Zeiten'!CK:DJ,15,0))</f>
        <v>15:48:27,15</v>
      </c>
      <c r="AE72" s="279">
        <f t="shared" si="27"/>
        <v>4.4791666666667007E-3</v>
      </c>
      <c r="AF72" s="132" t="str">
        <f>IF(ISBLANK($B72),"",VLOOKUP($B72,'Eingabe Zeiten'!CK:DJ,16,0))</f>
        <v>0:0:0,0</v>
      </c>
      <c r="AG72" s="117" t="str">
        <f t="shared" si="28"/>
        <v/>
      </c>
      <c r="AH72" s="115" t="str">
        <f>IF(ISBLANK($B72),"",VLOOKUP($B72,'Eingabe Zeiten'!CK:DJ,18,0))</f>
        <v>16:12:58,75</v>
      </c>
      <c r="AI72" s="116" t="str">
        <f>IF(ISBLANK($B72),"",VLOOKUP($B72,'Eingabe Zeiten'!CK:DJ,19,0))</f>
        <v>16:18:52,53</v>
      </c>
      <c r="AJ72" s="279">
        <f t="shared" si="29"/>
        <v>4.0946759259258281E-3</v>
      </c>
      <c r="AK72" s="132" t="str">
        <f>IF(ISBLANK($B72),"",VLOOKUP($B72,'Eingabe Zeiten'!CK:DJ,20,0))</f>
        <v>0:0:0,0</v>
      </c>
      <c r="AL72" s="117" t="str">
        <f t="shared" si="30"/>
        <v/>
      </c>
      <c r="AM72" s="115" t="str">
        <f>IF(ISBLANK($B72),"",VLOOKUP($B72,'Eingabe Zeiten'!CK:DJ,22,0))</f>
        <v>0:0:0,0</v>
      </c>
      <c r="AN72" s="116" t="str">
        <f>IF(ISBLANK($B72),"",VLOOKUP($B72,'Eingabe Zeiten'!CK:DJ,23,0))</f>
        <v>0:0:0,0</v>
      </c>
      <c r="AO72" s="279">
        <f t="shared" si="31"/>
        <v>0</v>
      </c>
      <c r="AP72" s="132" t="str">
        <f>IF(ISBLANK($B72),"",VLOOKUP($B72,'Eingabe Zeiten'!CK:DJ,24,0))</f>
        <v>0:0:0,0</v>
      </c>
      <c r="AQ72" s="117" t="str">
        <f t="shared" si="32"/>
        <v/>
      </c>
      <c r="AR72" s="136" t="str">
        <f>IF(ISBLANK($B72),"",VLOOKUP($B72,'Eingabe Zeiten'!CK:DJ,26,0))</f>
        <v>0:0:0,0</v>
      </c>
      <c r="AS72" s="213"/>
      <c r="AT72" s="279">
        <f t="shared" si="33"/>
        <v>2.1626620370370331E-2</v>
      </c>
      <c r="AU72" s="139">
        <f t="shared" si="34"/>
        <v>0</v>
      </c>
      <c r="AV72" s="224">
        <f t="shared" si="35"/>
        <v>2.1626620370370331E-2</v>
      </c>
    </row>
    <row r="73" spans="2:48" ht="15">
      <c r="B73" s="118">
        <v>67</v>
      </c>
      <c r="C73" s="275">
        <f>IF(ISBLANK($B73),"",VLOOKUP($B73,Teilnehmer!$B$4:$K$199,2,0))</f>
        <v>1</v>
      </c>
      <c r="D73" s="276">
        <f>IF(ISBLANK($B73),"",VLOOKUP($B73,Teilnehmer!$B$4:$K$199,3,0))</f>
        <v>4</v>
      </c>
      <c r="E73" s="93" t="str">
        <f>IF(ISBLANK($B73),"",VLOOKUP($B73,Teilnehmer!$B$4:$K$199,4,0))</f>
        <v>Walter Gerhard</v>
      </c>
      <c r="F73" s="285">
        <f>IF(ISBLANK($B73),"",VLOOKUP($B73,Teilnehmer!$B$4:$K$199,5,0))</f>
        <v>20268</v>
      </c>
      <c r="G73" s="288" t="str">
        <f>IF(ISBLANK($B73),"",VLOOKUP($B73,Teilnehmer!$B$4:$K$199,6,0))</f>
        <v>AC Gunzenhausen</v>
      </c>
      <c r="H73" s="93" t="str">
        <f>IF(ISBLANK($B73),"",VLOOKUP($B73,Teilnehmer!$B$4:$K$199,7,0))</f>
        <v>Schwarz Georg</v>
      </c>
      <c r="I73" s="285">
        <f>IF(ISBLANK($B73),"",VLOOKUP($B73,Teilnehmer!$B$4:$K$199,8,0))</f>
        <v>20042</v>
      </c>
      <c r="J73" s="289" t="str">
        <f>IF(ISBLANK($B73),"",VLOOKUP($B73,Teilnehmer!$B$4:$K$199,9,0))</f>
        <v>AC Gunzenhausen</v>
      </c>
      <c r="K73" s="180" t="str">
        <f>IF(ISBLANK($B73),"",VLOOKUP($B73,Teilnehmer!$B$4:$K$199,10,0))</f>
        <v>BMW 318IS</v>
      </c>
      <c r="L73" s="212"/>
      <c r="M73" s="226">
        <f t="shared" si="20"/>
        <v>67</v>
      </c>
      <c r="N73" s="115" t="str">
        <f>IF(ISBLANK($B73),"",VLOOKUP($B73,'Eingabe Zeiten'!CK:DJ,2,0))</f>
        <v>12:3:34,33</v>
      </c>
      <c r="O73" s="116" t="str">
        <f>IF(ISBLANK($B73),"",VLOOKUP($B73,'Eingabe Zeiten'!CK:DJ,3,0))</f>
        <v>12:10:31,64</v>
      </c>
      <c r="P73" s="279">
        <f t="shared" si="21"/>
        <v>4.8299768518518249E-3</v>
      </c>
      <c r="Q73" s="132" t="str">
        <f>IF(ISBLANK($B73),"",VLOOKUP($B73,'Eingabe Zeiten'!CK:DJ,4,0))</f>
        <v>0:0:0,0</v>
      </c>
      <c r="R73" s="117" t="str">
        <f t="shared" si="22"/>
        <v/>
      </c>
      <c r="S73" s="115" t="str">
        <f>IF(ISBLANK($B73),"",VLOOKUP($B73,'Eingabe Zeiten'!CK:DJ,6,0))</f>
        <v>13:3:22,48</v>
      </c>
      <c r="T73" s="116" t="str">
        <f>IF(ISBLANK($B73),"",VLOOKUP($B73,'Eingabe Zeiten'!CK:DJ,7,0))</f>
        <v>13:9:7,51</v>
      </c>
      <c r="U73" s="305">
        <v>1.0416666666666666E-2</v>
      </c>
      <c r="V73" s="132" t="str">
        <f>IF(ISBLANK($B73),"",VLOOKUP($B73,'Eingabe Zeiten'!CK:DJ,8,0))</f>
        <v>0:0:0,0</v>
      </c>
      <c r="W73" s="117" t="str">
        <f t="shared" si="24"/>
        <v/>
      </c>
      <c r="X73" s="115" t="str">
        <f>IF(ISBLANK($B73),"",VLOOKUP($B73,'Eingabe Zeiten'!CK:DJ,10,0))</f>
        <v>::,</v>
      </c>
      <c r="Y73" s="116" t="str">
        <f>IF(ISBLANK($B73),"",VLOOKUP($B73,'Eingabe Zeiten'!CK:DJ,11,0))</f>
        <v>::,</v>
      </c>
      <c r="Z73" s="279" t="s">
        <v>287</v>
      </c>
      <c r="AA73" s="132" t="str">
        <f>IF(ISBLANK($B73),"",VLOOKUP($B73,'Eingabe Zeiten'!CK:DJ,12,0))</f>
        <v>0:0:0,0</v>
      </c>
      <c r="AB73" s="117" t="str">
        <f t="shared" si="26"/>
        <v/>
      </c>
      <c r="AC73" s="115" t="str">
        <f>IF(ISBLANK($B73),"",VLOOKUP($B73,'Eingabe Zeiten'!CK:DJ,14,0))</f>
        <v>::,</v>
      </c>
      <c r="AD73" s="116" t="str">
        <f>IF(ISBLANK($B73),"",VLOOKUP($B73,'Eingabe Zeiten'!CK:DJ,15,0))</f>
        <v>::,</v>
      </c>
      <c r="AE73" s="279" t="s">
        <v>287</v>
      </c>
      <c r="AF73" s="132" t="str">
        <f>IF(ISBLANK($B73),"",VLOOKUP($B73,'Eingabe Zeiten'!CK:DJ,16,0))</f>
        <v>0:0:0,0</v>
      </c>
      <c r="AG73" s="117" t="str">
        <f t="shared" si="28"/>
        <v/>
      </c>
      <c r="AH73" s="115" t="str">
        <f>IF(ISBLANK($B73),"",VLOOKUP($B73,'Eingabe Zeiten'!CK:DJ,18,0))</f>
        <v>::,</v>
      </c>
      <c r="AI73" s="116" t="str">
        <f>IF(ISBLANK($B73),"",VLOOKUP($B73,'Eingabe Zeiten'!CK:DJ,19,0))</f>
        <v>::,</v>
      </c>
      <c r="AJ73" s="279" t="s">
        <v>287</v>
      </c>
      <c r="AK73" s="132" t="str">
        <f>IF(ISBLANK($B73),"",VLOOKUP($B73,'Eingabe Zeiten'!CK:DJ,20,0))</f>
        <v>0:0:0,0</v>
      </c>
      <c r="AL73" s="117" t="str">
        <f t="shared" si="30"/>
        <v/>
      </c>
      <c r="AM73" s="115" t="str">
        <f>IF(ISBLANK($B73),"",VLOOKUP($B73,'Eingabe Zeiten'!CK:DJ,22,0))</f>
        <v>0:0:0,0</v>
      </c>
      <c r="AN73" s="116" t="str">
        <f>IF(ISBLANK($B73),"",VLOOKUP($B73,'Eingabe Zeiten'!CK:DJ,23,0))</f>
        <v>0:0:0,0</v>
      </c>
      <c r="AO73" s="279">
        <f t="shared" si="31"/>
        <v>0</v>
      </c>
      <c r="AP73" s="132" t="str">
        <f>IF(ISBLANK($B73),"",VLOOKUP($B73,'Eingabe Zeiten'!CK:DJ,24,0))</f>
        <v>0:0:0,0</v>
      </c>
      <c r="AQ73" s="117" t="str">
        <f t="shared" si="32"/>
        <v/>
      </c>
      <c r="AR73" s="136" t="str">
        <f>IF(ISBLANK($B73),"",VLOOKUP($B73,'Eingabe Zeiten'!CK:DJ,26,0))</f>
        <v>0:0:0,0</v>
      </c>
      <c r="AS73" s="213"/>
      <c r="AT73" s="279" t="s">
        <v>287</v>
      </c>
      <c r="AU73" s="139">
        <f t="shared" si="34"/>
        <v>0</v>
      </c>
      <c r="AV73" s="224" t="s">
        <v>287</v>
      </c>
    </row>
    <row r="74" spans="2:48" ht="28.5">
      <c r="B74" s="118">
        <v>68</v>
      </c>
      <c r="C74" s="275">
        <f>IF(ISBLANK($B74),"",VLOOKUP($B74,Teilnehmer!$B$4:$K$199,2,0))</f>
        <v>1</v>
      </c>
      <c r="D74" s="276">
        <f>IF(ISBLANK($B74),"",VLOOKUP($B74,Teilnehmer!$B$4:$K$199,3,0))</f>
        <v>4</v>
      </c>
      <c r="E74" s="93" t="str">
        <f>IF(ISBLANK($B74),"",VLOOKUP($B74,Teilnehmer!$B$4:$K$199,4,0))</f>
        <v>Deisinger Justin</v>
      </c>
      <c r="F74" s="285" t="str">
        <f>IF(ISBLANK($B74),"",VLOOKUP($B74,Teilnehmer!$B$4:$K$199,5,0))</f>
        <v>-</v>
      </c>
      <c r="G74" s="288" t="str">
        <f>IF(ISBLANK($B74),"",VLOOKUP($B74,Teilnehmer!$B$4:$K$199,6,0))</f>
        <v>Deisinger Motorsport</v>
      </c>
      <c r="H74" s="93" t="str">
        <f>IF(ISBLANK($B74),"",VLOOKUP($B74,Teilnehmer!$B$4:$K$199,7,0))</f>
        <v>Ochs Maximilian</v>
      </c>
      <c r="I74" s="285" t="str">
        <f>IF(ISBLANK($B74),"",VLOOKUP($B74,Teilnehmer!$B$4:$K$199,8,0))</f>
        <v>-</v>
      </c>
      <c r="J74" s="289" t="str">
        <f>IF(ISBLANK($B74),"",VLOOKUP($B74,Teilnehmer!$B$4:$K$199,9,0))</f>
        <v>Deisinger Motorsport</v>
      </c>
      <c r="K74" s="180" t="str">
        <f>IF(ISBLANK($B74),"",VLOOKUP($B74,Teilnehmer!$B$4:$K$199,10,0))</f>
        <v>Opel Kadett E GSi</v>
      </c>
      <c r="L74" s="212"/>
      <c r="M74" s="226">
        <f t="shared" si="20"/>
        <v>68</v>
      </c>
      <c r="N74" s="115" t="str">
        <f>IF(ISBLANK($B74),"",VLOOKUP($B74,'Eingabe Zeiten'!CK:DJ,2,0))</f>
        <v>12:5:12,86</v>
      </c>
      <c r="O74" s="116" t="str">
        <f>IF(ISBLANK($B74),"",VLOOKUP($B74,'Eingabe Zeiten'!CK:DJ,3,0))</f>
        <v>12:11:22,43</v>
      </c>
      <c r="P74" s="279">
        <f t="shared" si="21"/>
        <v>4.277430555555517E-3</v>
      </c>
      <c r="Q74" s="132" t="str">
        <f>IF(ISBLANK($B74),"",VLOOKUP($B74,'Eingabe Zeiten'!CK:DJ,4,0))</f>
        <v>0:0:0,0</v>
      </c>
      <c r="R74" s="117" t="str">
        <f t="shared" si="22"/>
        <v/>
      </c>
      <c r="S74" s="115" t="str">
        <f>IF(ISBLANK($B74),"",VLOOKUP($B74,'Eingabe Zeiten'!CK:DJ,6,0))</f>
        <v>13:8:31,51</v>
      </c>
      <c r="T74" s="116" t="str">
        <f>IF(ISBLANK($B74),"",VLOOKUP($B74,'Eingabe Zeiten'!CK:DJ,7,0))</f>
        <v>13:15:41,55</v>
      </c>
      <c r="U74" s="279">
        <f t="shared" si="23"/>
        <v>4.9773148148148927E-3</v>
      </c>
      <c r="V74" s="132" t="str">
        <f>IF(ISBLANK($B74),"",VLOOKUP($B74,'Eingabe Zeiten'!CK:DJ,8,0))</f>
        <v>0:0:0,0</v>
      </c>
      <c r="W74" s="117" t="str">
        <f t="shared" si="24"/>
        <v/>
      </c>
      <c r="X74" s="115" t="str">
        <f>IF(ISBLANK($B74),"",VLOOKUP($B74,'Eingabe Zeiten'!CK:DJ,10,0))</f>
        <v>14:15:56,17</v>
      </c>
      <c r="Y74" s="116" t="str">
        <f>IF(ISBLANK($B74),"",VLOOKUP($B74,'Eingabe Zeiten'!CK:DJ,11,0))</f>
        <v>14:21:53,61</v>
      </c>
      <c r="Z74" s="279">
        <f t="shared" si="25"/>
        <v>4.1370370370370502E-3</v>
      </c>
      <c r="AA74" s="132" t="str">
        <f>IF(ISBLANK($B74),"",VLOOKUP($B74,'Eingabe Zeiten'!CK:DJ,12,0))</f>
        <v>0:0:0,0</v>
      </c>
      <c r="AB74" s="117" t="str">
        <f t="shared" si="26"/>
        <v/>
      </c>
      <c r="AC74" s="115" t="str">
        <f>IF(ISBLANK($B74),"",VLOOKUP($B74,'Eingabe Zeiten'!CK:DJ,14,0))</f>
        <v>15:42:19,66</v>
      </c>
      <c r="AD74" s="116" t="str">
        <f>IF(ISBLANK($B74),"",VLOOKUP($B74,'Eingabe Zeiten'!CK:DJ,15,0))</f>
        <v>15:49:13,20</v>
      </c>
      <c r="AE74" s="279">
        <f t="shared" si="27"/>
        <v>4.7863425925925851E-3</v>
      </c>
      <c r="AF74" s="132" t="str">
        <f>IF(ISBLANK($B74),"",VLOOKUP($B74,'Eingabe Zeiten'!CK:DJ,16,0))</f>
        <v>0:0:0,0</v>
      </c>
      <c r="AG74" s="117" t="str">
        <f t="shared" si="28"/>
        <v/>
      </c>
      <c r="AH74" s="115" t="str">
        <f>IF(ISBLANK($B74),"",VLOOKUP($B74,'Eingabe Zeiten'!CK:DJ,18,0))</f>
        <v>16:14:10,0</v>
      </c>
      <c r="AI74" s="116" t="str">
        <f>IF(ISBLANK($B74),"",VLOOKUP($B74,'Eingabe Zeiten'!CK:DJ,19,0))</f>
        <v>16:20:5,93</v>
      </c>
      <c r="AJ74" s="279">
        <f t="shared" si="29"/>
        <v>4.1195601851852226E-3</v>
      </c>
      <c r="AK74" s="132" t="str">
        <f>IF(ISBLANK($B74),"",VLOOKUP($B74,'Eingabe Zeiten'!CK:DJ,20,0))</f>
        <v>0:0:0,0</v>
      </c>
      <c r="AL74" s="117" t="str">
        <f t="shared" si="30"/>
        <v/>
      </c>
      <c r="AM74" s="115" t="str">
        <f>IF(ISBLANK($B74),"",VLOOKUP($B74,'Eingabe Zeiten'!CK:DJ,22,0))</f>
        <v>0:0:0,0</v>
      </c>
      <c r="AN74" s="116" t="str">
        <f>IF(ISBLANK($B74),"",VLOOKUP($B74,'Eingabe Zeiten'!CK:DJ,23,0))</f>
        <v>0:0:0,0</v>
      </c>
      <c r="AO74" s="279">
        <f t="shared" si="31"/>
        <v>0</v>
      </c>
      <c r="AP74" s="132" t="str">
        <f>IF(ISBLANK($B74),"",VLOOKUP($B74,'Eingabe Zeiten'!CK:DJ,24,0))</f>
        <v>0:0:0,0</v>
      </c>
      <c r="AQ74" s="117" t="str">
        <f t="shared" si="32"/>
        <v/>
      </c>
      <c r="AR74" s="136" t="str">
        <f>IF(ISBLANK($B74),"",VLOOKUP($B74,'Eingabe Zeiten'!CK:DJ,26,0))</f>
        <v>0:0:0,0</v>
      </c>
      <c r="AS74" s="213"/>
      <c r="AT74" s="279">
        <f t="shared" si="33"/>
        <v>2.2297685185185268E-2</v>
      </c>
      <c r="AU74" s="139">
        <f t="shared" si="34"/>
        <v>0</v>
      </c>
      <c r="AV74" s="224">
        <f t="shared" si="35"/>
        <v>2.2297685185185268E-2</v>
      </c>
    </row>
    <row r="75" spans="2:48" ht="15">
      <c r="B75" s="118">
        <v>69</v>
      </c>
      <c r="C75" s="275">
        <f>IF(ISBLANK($B75),"",VLOOKUP($B75,Teilnehmer!$B$4:$K$199,2,0))</f>
        <v>1</v>
      </c>
      <c r="D75" s="276">
        <f>IF(ISBLANK($B75),"",VLOOKUP($B75,Teilnehmer!$B$4:$K$199,3,0))</f>
        <v>4</v>
      </c>
      <c r="E75" s="93" t="str">
        <f>IF(ISBLANK($B75),"",VLOOKUP($B75,Teilnehmer!$B$4:$K$199,4,0))</f>
        <v>Heider Daniel</v>
      </c>
      <c r="F75" s="285" t="str">
        <f>IF(ISBLANK($B75),"",VLOOKUP($B75,Teilnehmer!$B$4:$K$199,5,0))</f>
        <v>-</v>
      </c>
      <c r="G75" s="288" t="str">
        <f>IF(ISBLANK($B75),"",VLOOKUP($B75,Teilnehmer!$B$4:$K$199,6,0))</f>
        <v>AC Gunzenhausen</v>
      </c>
      <c r="H75" s="93" t="str">
        <f>IF(ISBLANK($B75),"",VLOOKUP($B75,Teilnehmer!$B$4:$K$199,7,0))</f>
        <v>Heider Michael</v>
      </c>
      <c r="I75" s="285" t="str">
        <f>IF(ISBLANK($B75),"",VLOOKUP($B75,Teilnehmer!$B$4:$K$199,8,0))</f>
        <v>-</v>
      </c>
      <c r="J75" s="289" t="str">
        <f>IF(ISBLANK($B75),"",VLOOKUP($B75,Teilnehmer!$B$4:$K$199,9,0))</f>
        <v>AC Gunzenhausen</v>
      </c>
      <c r="K75" s="180" t="str">
        <f>IF(ISBLANK($B75),"",VLOOKUP($B75,Teilnehmer!$B$4:$K$199,10,0))</f>
        <v>VW Golf 2</v>
      </c>
      <c r="L75" s="212"/>
      <c r="M75" s="226">
        <f t="shared" si="20"/>
        <v>69</v>
      </c>
      <c r="N75" s="115" t="str">
        <f>IF(ISBLANK($B75),"",VLOOKUP($B75,'Eingabe Zeiten'!CK:DJ,2,0))</f>
        <v>12:5:58,56</v>
      </c>
      <c r="O75" s="116" t="str">
        <f>IF(ISBLANK($B75),"",VLOOKUP($B75,'Eingabe Zeiten'!CK:DJ,3,0))</f>
        <v>12:12:1,47</v>
      </c>
      <c r="P75" s="279">
        <f t="shared" si="21"/>
        <v>4.2003472222222893E-3</v>
      </c>
      <c r="Q75" s="132" t="str">
        <f>IF(ISBLANK($B75),"",VLOOKUP($B75,'Eingabe Zeiten'!CK:DJ,4,0))</f>
        <v>0:0:0,0</v>
      </c>
      <c r="R75" s="117" t="str">
        <f t="shared" si="22"/>
        <v/>
      </c>
      <c r="S75" s="115" t="str">
        <f>IF(ISBLANK($B75),"",VLOOKUP($B75,'Eingabe Zeiten'!CK:DJ,6,0))</f>
        <v>13:8:51,37</v>
      </c>
      <c r="T75" s="116" t="str">
        <f>IF(ISBLANK($B75),"",VLOOKUP($B75,'Eingabe Zeiten'!CK:DJ,7,0))</f>
        <v>13:15:32,51</v>
      </c>
      <c r="U75" s="279">
        <f t="shared" si="23"/>
        <v>4.6428240740741256E-3</v>
      </c>
      <c r="V75" s="132" t="str">
        <f>IF(ISBLANK($B75),"",VLOOKUP($B75,'Eingabe Zeiten'!CK:DJ,8,0))</f>
        <v>0:0:0,0</v>
      </c>
      <c r="W75" s="117" t="str">
        <f t="shared" si="24"/>
        <v/>
      </c>
      <c r="X75" s="115" t="str">
        <f>IF(ISBLANK($B75),"",VLOOKUP($B75,'Eingabe Zeiten'!CK:DJ,10,0))</f>
        <v>14:17:22,83</v>
      </c>
      <c r="Y75" s="116" t="str">
        <f>IF(ISBLANK($B75),"",VLOOKUP($B75,'Eingabe Zeiten'!CK:DJ,11,0))</f>
        <v>14:23:15,43</v>
      </c>
      <c r="Z75" s="279">
        <f t="shared" si="25"/>
        <v>4.0810185185184977E-3</v>
      </c>
      <c r="AA75" s="132" t="str">
        <f>IF(ISBLANK($B75),"",VLOOKUP($B75,'Eingabe Zeiten'!CK:DJ,12,0))</f>
        <v>0:0:0,0</v>
      </c>
      <c r="AB75" s="117" t="str">
        <f t="shared" si="26"/>
        <v/>
      </c>
      <c r="AC75" s="115" t="str">
        <f>IF(ISBLANK($B75),"",VLOOKUP($B75,'Eingabe Zeiten'!CK:DJ,14,0))</f>
        <v>15:42:39,6</v>
      </c>
      <c r="AD75" s="116" t="str">
        <f>IF(ISBLANK($B75),"",VLOOKUP($B75,'Eingabe Zeiten'!CK:DJ,15,0))</f>
        <v>15:49:7,73</v>
      </c>
      <c r="AE75" s="279">
        <f t="shared" si="27"/>
        <v>4.4922453703704068E-3</v>
      </c>
      <c r="AF75" s="132" t="str">
        <f>IF(ISBLANK($B75),"",VLOOKUP($B75,'Eingabe Zeiten'!CK:DJ,16,0))</f>
        <v>0:0:0,0</v>
      </c>
      <c r="AG75" s="117" t="str">
        <f t="shared" si="28"/>
        <v/>
      </c>
      <c r="AH75" s="115" t="str">
        <f>IF(ISBLANK($B75),"",VLOOKUP($B75,'Eingabe Zeiten'!CK:DJ,18,0))</f>
        <v>::,</v>
      </c>
      <c r="AI75" s="116" t="str">
        <f>IF(ISBLANK($B75),"",VLOOKUP($B75,'Eingabe Zeiten'!CK:DJ,19,0))</f>
        <v>::,</v>
      </c>
      <c r="AJ75" s="313" t="s">
        <v>287</v>
      </c>
      <c r="AK75" s="132" t="str">
        <f>IF(ISBLANK($B75),"",VLOOKUP($B75,'Eingabe Zeiten'!CK:DJ,20,0))</f>
        <v>0:0:0,0</v>
      </c>
      <c r="AL75" s="117" t="str">
        <f t="shared" si="30"/>
        <v/>
      </c>
      <c r="AM75" s="115" t="str">
        <f>IF(ISBLANK($B75),"",VLOOKUP($B75,'Eingabe Zeiten'!CK:DJ,22,0))</f>
        <v>0:0:0,0</v>
      </c>
      <c r="AN75" s="116" t="str">
        <f>IF(ISBLANK($B75),"",VLOOKUP($B75,'Eingabe Zeiten'!CK:DJ,23,0))</f>
        <v>0:0:0,0</v>
      </c>
      <c r="AO75" s="279">
        <f t="shared" si="31"/>
        <v>0</v>
      </c>
      <c r="AP75" s="132" t="str">
        <f>IF(ISBLANK($B75),"",VLOOKUP($B75,'Eingabe Zeiten'!CK:DJ,24,0))</f>
        <v>0:0:0,0</v>
      </c>
      <c r="AQ75" s="117" t="str">
        <f t="shared" si="32"/>
        <v/>
      </c>
      <c r="AR75" s="136" t="str">
        <f>IF(ISBLANK($B75),"",VLOOKUP($B75,'Eingabe Zeiten'!CK:DJ,26,0))</f>
        <v>0:0:0,0</v>
      </c>
      <c r="AS75" s="213"/>
      <c r="AT75" s="279" t="s">
        <v>287</v>
      </c>
      <c r="AU75" s="139">
        <f t="shared" si="34"/>
        <v>0</v>
      </c>
      <c r="AV75" s="224" t="s">
        <v>287</v>
      </c>
    </row>
    <row r="76" spans="2:48" ht="28.5">
      <c r="B76" s="118">
        <v>70</v>
      </c>
      <c r="C76" s="275">
        <f>IF(ISBLANK($B76),"",VLOOKUP($B76,Teilnehmer!$B$4:$K$199,2,0))</f>
        <v>1</v>
      </c>
      <c r="D76" s="276">
        <f>IF(ISBLANK($B76),"",VLOOKUP($B76,Teilnehmer!$B$4:$K$199,3,0))</f>
        <v>4</v>
      </c>
      <c r="E76" s="93" t="str">
        <f>IF(ISBLANK($B76),"",VLOOKUP($B76,Teilnehmer!$B$4:$K$199,4,0))</f>
        <v>Schuhmacher Helmut</v>
      </c>
      <c r="F76" s="285" t="str">
        <f>IF(ISBLANK($B76),"",VLOOKUP($B76,Teilnehmer!$B$4:$K$199,5,0))</f>
        <v>-</v>
      </c>
      <c r="G76" s="288" t="str">
        <f>IF(ISBLANK($B76),"",VLOOKUP($B76,Teilnehmer!$B$4:$K$199,6,0))</f>
        <v>ADAC OC Schwäbisch Hall</v>
      </c>
      <c r="H76" s="93" t="str">
        <f>IF(ISBLANK($B76),"",VLOOKUP($B76,Teilnehmer!$B$4:$K$199,7,0))</f>
        <v>Schuhmacher Marcel</v>
      </c>
      <c r="I76" s="285" t="str">
        <f>IF(ISBLANK($B76),"",VLOOKUP($B76,Teilnehmer!$B$4:$K$199,8,0))</f>
        <v>-</v>
      </c>
      <c r="J76" s="289" t="str">
        <f>IF(ISBLANK($B76),"",VLOOKUP($B76,Teilnehmer!$B$4:$K$199,9,0))</f>
        <v>ADAC OC Schwäbisch Hall</v>
      </c>
      <c r="K76" s="180" t="str">
        <f>IF(ISBLANK($B76),"",VLOOKUP($B76,Teilnehmer!$B$4:$K$199,10,0))</f>
        <v>BMW E36 318is</v>
      </c>
      <c r="L76" s="212"/>
      <c r="M76" s="226">
        <f t="shared" si="20"/>
        <v>70</v>
      </c>
      <c r="N76" s="115" t="str">
        <f>IF(ISBLANK($B76),"",VLOOKUP($B76,'Eingabe Zeiten'!CK:DJ,2,0))</f>
        <v>12:6:59,82</v>
      </c>
      <c r="O76" s="116" t="str">
        <f>IF(ISBLANK($B76),"",VLOOKUP($B76,'Eingabe Zeiten'!CK:DJ,3,0))</f>
        <v>12:12:51,57</v>
      </c>
      <c r="P76" s="279">
        <f t="shared" si="21"/>
        <v>4.0711805555555536E-3</v>
      </c>
      <c r="Q76" s="132" t="str">
        <f>IF(ISBLANK($B76),"",VLOOKUP($B76,'Eingabe Zeiten'!CK:DJ,4,0))</f>
        <v>0:0:0,0</v>
      </c>
      <c r="R76" s="117" t="str">
        <f t="shared" si="22"/>
        <v/>
      </c>
      <c r="S76" s="115" t="str">
        <f>IF(ISBLANK($B76),"",VLOOKUP($B76,'Eingabe Zeiten'!CK:DJ,6,0))</f>
        <v>13:9:10,28</v>
      </c>
      <c r="T76" s="116" t="str">
        <f>IF(ISBLANK($B76),"",VLOOKUP($B76,'Eingabe Zeiten'!CK:DJ,7,0))</f>
        <v>13:15:37,36</v>
      </c>
      <c r="U76" s="279">
        <f t="shared" si="23"/>
        <v>4.4800925925926327E-3</v>
      </c>
      <c r="V76" s="132" t="str">
        <f>IF(ISBLANK($B76),"",VLOOKUP($B76,'Eingabe Zeiten'!CK:DJ,8,0))</f>
        <v>0:0:0,0</v>
      </c>
      <c r="W76" s="117" t="str">
        <f t="shared" si="24"/>
        <v/>
      </c>
      <c r="X76" s="115" t="str">
        <f>IF(ISBLANK($B76),"",VLOOKUP($B76,'Eingabe Zeiten'!CK:DJ,10,0))</f>
        <v>14:12:7,65</v>
      </c>
      <c r="Y76" s="116" t="str">
        <f>IF(ISBLANK($B76),"",VLOOKUP($B76,'Eingabe Zeiten'!CK:DJ,11,0))</f>
        <v>14:17:54,75</v>
      </c>
      <c r="Z76" s="279">
        <f t="shared" si="25"/>
        <v>4.0173611111110619E-3</v>
      </c>
      <c r="AA76" s="132" t="str">
        <f>IF(ISBLANK($B76),"",VLOOKUP($B76,'Eingabe Zeiten'!CK:DJ,12,0))</f>
        <v>0:0:0,0</v>
      </c>
      <c r="AB76" s="117" t="str">
        <f t="shared" si="26"/>
        <v/>
      </c>
      <c r="AC76" s="115" t="str">
        <f>IF(ISBLANK($B76),"",VLOOKUP($B76,'Eingabe Zeiten'!CK:DJ,14,0))</f>
        <v>15:42:56,70</v>
      </c>
      <c r="AD76" s="116" t="str">
        <f>IF(ISBLANK($B76),"",VLOOKUP($B76,'Eingabe Zeiten'!CK:DJ,15,0))</f>
        <v>15:49:16,19</v>
      </c>
      <c r="AE76" s="279">
        <f t="shared" si="27"/>
        <v>4.3922453703705289E-3</v>
      </c>
      <c r="AF76" s="132" t="str">
        <f>IF(ISBLANK($B76),"",VLOOKUP($B76,'Eingabe Zeiten'!CK:DJ,16,0))</f>
        <v>0:0:0,0</v>
      </c>
      <c r="AG76" s="117" t="str">
        <f t="shared" si="28"/>
        <v/>
      </c>
      <c r="AH76" s="115" t="str">
        <f>IF(ISBLANK($B76),"",VLOOKUP($B76,'Eingabe Zeiten'!CK:DJ,18,0))</f>
        <v>16:16:53,0</v>
      </c>
      <c r="AI76" s="116" t="str">
        <f>IF(ISBLANK($B76),"",VLOOKUP($B76,'Eingabe Zeiten'!CK:DJ,19,0))</f>
        <v>16:22:44,18</v>
      </c>
      <c r="AJ76" s="279">
        <f t="shared" si="29"/>
        <v>4.0645833333333714E-3</v>
      </c>
      <c r="AK76" s="132" t="str">
        <f>IF(ISBLANK($B76),"",VLOOKUP($B76,'Eingabe Zeiten'!CK:DJ,20,0))</f>
        <v>0:0:0,0</v>
      </c>
      <c r="AL76" s="117" t="str">
        <f t="shared" si="30"/>
        <v/>
      </c>
      <c r="AM76" s="115" t="str">
        <f>IF(ISBLANK($B76),"",VLOOKUP($B76,'Eingabe Zeiten'!CK:DJ,22,0))</f>
        <v>0:0:0,0</v>
      </c>
      <c r="AN76" s="116" t="str">
        <f>IF(ISBLANK($B76),"",VLOOKUP($B76,'Eingabe Zeiten'!CK:DJ,23,0))</f>
        <v>0:0:0,0</v>
      </c>
      <c r="AO76" s="279">
        <f t="shared" si="31"/>
        <v>0</v>
      </c>
      <c r="AP76" s="132" t="str">
        <f>IF(ISBLANK($B76),"",VLOOKUP($B76,'Eingabe Zeiten'!CK:DJ,24,0))</f>
        <v>0:0:0,0</v>
      </c>
      <c r="AQ76" s="117" t="str">
        <f t="shared" si="32"/>
        <v/>
      </c>
      <c r="AR76" s="136" t="str">
        <f>IF(ISBLANK($B76),"",VLOOKUP($B76,'Eingabe Zeiten'!CK:DJ,26,0))</f>
        <v>0:0:0,0</v>
      </c>
      <c r="AS76" s="213"/>
      <c r="AT76" s="279">
        <f t="shared" si="33"/>
        <v>2.1025462962963148E-2</v>
      </c>
      <c r="AU76" s="139">
        <f t="shared" si="34"/>
        <v>0</v>
      </c>
      <c r="AV76" s="224">
        <f t="shared" si="35"/>
        <v>2.1025462962963148E-2</v>
      </c>
    </row>
    <row r="77" spans="2:48" ht="15">
      <c r="B77" s="118">
        <v>71</v>
      </c>
      <c r="C77" s="275">
        <f>IF(ISBLANK($B77),"",VLOOKUP($B77,Teilnehmer!$B$4:$K$199,2,0))</f>
        <v>1</v>
      </c>
      <c r="D77" s="276">
        <f>IF(ISBLANK($B77),"",VLOOKUP($B77,Teilnehmer!$B$4:$K$199,3,0))</f>
        <v>4</v>
      </c>
      <c r="E77" s="93" t="str">
        <f>IF(ISBLANK($B77),"",VLOOKUP($B77,Teilnehmer!$B$4:$K$199,4,0))</f>
        <v>Ateia Tarek</v>
      </c>
      <c r="F77" s="285" t="str">
        <f>IF(ISBLANK($B77),"",VLOOKUP($B77,Teilnehmer!$B$4:$K$199,5,0))</f>
        <v>-</v>
      </c>
      <c r="G77" s="288" t="str">
        <f>IF(ISBLANK($B77),"",VLOOKUP($B77,Teilnehmer!$B$4:$K$199,6,0))</f>
        <v>-</v>
      </c>
      <c r="H77" s="93" t="str">
        <f>IF(ISBLANK($B77),"",VLOOKUP($B77,Teilnehmer!$B$4:$K$199,7,0))</f>
        <v>Spiske Andreas</v>
      </c>
      <c r="I77" s="285" t="str">
        <f>IF(ISBLANK($B77),"",VLOOKUP($B77,Teilnehmer!$B$4:$K$199,8,0))</f>
        <v>-</v>
      </c>
      <c r="J77" s="289" t="str">
        <f>IF(ISBLANK($B77),"",VLOOKUP($B77,Teilnehmer!$B$4:$K$199,9,0))</f>
        <v>-</v>
      </c>
      <c r="K77" s="180" t="str">
        <f>IF(ISBLANK($B77),"",VLOOKUP($B77,Teilnehmer!$B$4:$K$199,10,0))</f>
        <v>BMW 318ti</v>
      </c>
      <c r="L77" s="212"/>
      <c r="M77" s="226">
        <f t="shared" si="20"/>
        <v>71</v>
      </c>
      <c r="N77" s="115" t="str">
        <f>IF(ISBLANK($B77),"",VLOOKUP($B77,'Eingabe Zeiten'!CK:DJ,2,0))</f>
        <v>12:7:54,55</v>
      </c>
      <c r="O77" s="116" t="str">
        <f>IF(ISBLANK($B77),"",VLOOKUP($B77,'Eingabe Zeiten'!CK:DJ,3,0))</f>
        <v>12:14:3,33</v>
      </c>
      <c r="P77" s="279">
        <f t="shared" si="21"/>
        <v>4.2682870370370773E-3</v>
      </c>
      <c r="Q77" s="132" t="str">
        <f>IF(ISBLANK($B77),"",VLOOKUP($B77,'Eingabe Zeiten'!CK:DJ,4,0))</f>
        <v>0:0:30,0</v>
      </c>
      <c r="R77" s="117" t="str">
        <f t="shared" si="22"/>
        <v/>
      </c>
      <c r="S77" s="115" t="str">
        <f>IF(ISBLANK($B77),"",VLOOKUP($B77,'Eingabe Zeiten'!CK:DJ,6,0))</f>
        <v>13:9:28,2</v>
      </c>
      <c r="T77" s="116" t="str">
        <f>IF(ISBLANK($B77),"",VLOOKUP($B77,'Eingabe Zeiten'!CK:DJ,7,0))</f>
        <v>13:16:20,99</v>
      </c>
      <c r="U77" s="279">
        <f t="shared" si="23"/>
        <v>4.7776620370370004E-3</v>
      </c>
      <c r="V77" s="132" t="str">
        <f>IF(ISBLANK($B77),"",VLOOKUP($B77,'Eingabe Zeiten'!CK:DJ,8,0))</f>
        <v>0:0:0,0</v>
      </c>
      <c r="W77" s="117" t="str">
        <f t="shared" si="24"/>
        <v/>
      </c>
      <c r="X77" s="115" t="str">
        <f>IF(ISBLANK($B77),"",VLOOKUP($B77,'Eingabe Zeiten'!CK:DJ,10,0))</f>
        <v>14:18:33,46</v>
      </c>
      <c r="Y77" s="116" t="str">
        <f>IF(ISBLANK($B77),"",VLOOKUP($B77,'Eingabe Zeiten'!CK:DJ,11,0))</f>
        <v>14:24:36,36</v>
      </c>
      <c r="Z77" s="279">
        <f t="shared" si="25"/>
        <v>4.200231481481409E-3</v>
      </c>
      <c r="AA77" s="132" t="str">
        <f>IF(ISBLANK($B77),"",VLOOKUP($B77,'Eingabe Zeiten'!CK:DJ,12,0))</f>
        <v>0:0:0,0</v>
      </c>
      <c r="AB77" s="117" t="str">
        <f t="shared" si="26"/>
        <v/>
      </c>
      <c r="AC77" s="115" t="str">
        <f>IF(ISBLANK($B77),"",VLOOKUP($B77,'Eingabe Zeiten'!CK:DJ,14,0))</f>
        <v>15:43:15,0</v>
      </c>
      <c r="AD77" s="116" t="str">
        <f>IF(ISBLANK($B77),"",VLOOKUP($B77,'Eingabe Zeiten'!CK:DJ,15,0))</f>
        <v>15:49:55,4</v>
      </c>
      <c r="AE77" s="279">
        <f t="shared" si="27"/>
        <v>4.6342592592591991E-3</v>
      </c>
      <c r="AF77" s="132" t="str">
        <f>IF(ISBLANK($B77),"",VLOOKUP($B77,'Eingabe Zeiten'!CK:DJ,16,0))</f>
        <v>0:0:0,0</v>
      </c>
      <c r="AG77" s="117" t="str">
        <f t="shared" si="28"/>
        <v/>
      </c>
      <c r="AH77" s="115" t="str">
        <f>IF(ISBLANK($B77),"",VLOOKUP($B77,'Eingabe Zeiten'!CK:DJ,18,0))</f>
        <v>16:17:59,33</v>
      </c>
      <c r="AI77" s="116" t="str">
        <f>IF(ISBLANK($B77),"",VLOOKUP($B77,'Eingabe Zeiten'!CK:DJ,19,0))</f>
        <v>16:23:58,53</v>
      </c>
      <c r="AJ77" s="279">
        <f t="shared" si="29"/>
        <v>4.1574074074073319E-3</v>
      </c>
      <c r="AK77" s="132" t="str">
        <f>IF(ISBLANK($B77),"",VLOOKUP($B77,'Eingabe Zeiten'!CK:DJ,20,0))</f>
        <v>0:0:30,0</v>
      </c>
      <c r="AL77" s="117" t="str">
        <f t="shared" si="30"/>
        <v/>
      </c>
      <c r="AM77" s="115" t="str">
        <f>IF(ISBLANK($B77),"",VLOOKUP($B77,'Eingabe Zeiten'!CK:DJ,22,0))</f>
        <v>0:0:0,0</v>
      </c>
      <c r="AN77" s="116" t="str">
        <f>IF(ISBLANK($B77),"",VLOOKUP($B77,'Eingabe Zeiten'!CK:DJ,23,0))</f>
        <v>0:0:0,0</v>
      </c>
      <c r="AO77" s="279">
        <f t="shared" si="31"/>
        <v>0</v>
      </c>
      <c r="AP77" s="132" t="str">
        <f>IF(ISBLANK($B77),"",VLOOKUP($B77,'Eingabe Zeiten'!CK:DJ,24,0))</f>
        <v>0:0:0,0</v>
      </c>
      <c r="AQ77" s="117" t="str">
        <f t="shared" si="32"/>
        <v/>
      </c>
      <c r="AR77" s="136" t="str">
        <f>IF(ISBLANK($B77),"",VLOOKUP($B77,'Eingabe Zeiten'!CK:DJ,26,0))</f>
        <v>0:0:0,0</v>
      </c>
      <c r="AS77" s="213"/>
      <c r="AT77" s="279">
        <f t="shared" si="33"/>
        <v>2.2037847222222018E-2</v>
      </c>
      <c r="AU77" s="139">
        <f t="shared" si="34"/>
        <v>6.9444444444444447E-4</v>
      </c>
      <c r="AV77" s="224">
        <f t="shared" si="35"/>
        <v>2.2732291666666463E-2</v>
      </c>
    </row>
  </sheetData>
  <mergeCells count="14">
    <mergeCell ref="AG1:AG4"/>
    <mergeCell ref="M6:M7"/>
    <mergeCell ref="S5:V5"/>
    <mergeCell ref="X5:AA5"/>
    <mergeCell ref="AC5:AF5"/>
    <mergeCell ref="R1:R4"/>
    <mergeCell ref="W1:W4"/>
    <mergeCell ref="AB1:AB4"/>
    <mergeCell ref="N5:Q5"/>
    <mergeCell ref="AT5:AV5"/>
    <mergeCell ref="AL1:AL4"/>
    <mergeCell ref="AH5:AK5"/>
    <mergeCell ref="AQ1:AQ4"/>
    <mergeCell ref="AM5:AP5"/>
  </mergeCells>
  <conditionalFormatting sqref="B5">
    <cfRule type="cellIs" dxfId="74" priority="10" operator="lessThan">
      <formula>0</formula>
    </cfRule>
    <cfRule type="cellIs" dxfId="73" priority="11" operator="greaterThan">
      <formula>0</formula>
    </cfRule>
  </conditionalFormatting>
  <conditionalFormatting sqref="R8:R77 W8:W77 AB8:AB77 AG8:AG77 AL8:AL77 AQ8:AQ77">
    <cfRule type="cellIs" dxfId="72" priority="5" operator="equal">
      <formula>"x"</formula>
    </cfRule>
  </conditionalFormatting>
  <conditionalFormatting sqref="U4:V4 Z4:AA4 AE4:AF4 AR4:AV4">
    <cfRule type="cellIs" dxfId="71" priority="16" operator="greaterThan">
      <formula>0</formula>
    </cfRule>
  </conditionalFormatting>
  <conditionalFormatting sqref="AJ4:AK4">
    <cfRule type="cellIs" dxfId="70" priority="9" operator="greaterThan">
      <formula>0</formula>
    </cfRule>
  </conditionalFormatting>
  <conditionalFormatting sqref="AO4:AP4">
    <cfRule type="cellIs" dxfId="69" priority="7" operator="greaterThan">
      <formula>0</formula>
    </cfRule>
  </conditionalFormatting>
  <pageMargins left="0.25" right="0.25" top="0.75" bottom="0.75" header="0.3" footer="0.3"/>
  <pageSetup paperSize="8" scale="3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8EDB-901C-404C-98B5-E64A905CC40B}">
  <sheetPr codeName="Tabelle3">
    <tabColor theme="7"/>
    <pageSetUpPr fitToPage="1"/>
  </sheetPr>
  <dimension ref="B1:AA40"/>
  <sheetViews>
    <sheetView showGridLines="0" zoomScaleNormal="100" zoomScaleSheetLayoutView="120" workbookViewId="0">
      <pane xSplit="5" ySplit="6" topLeftCell="F7" activePane="bottomRight" state="frozen"/>
      <selection pane="bottomRight" activeCell="B1" sqref="B1:T17"/>
      <selection pane="bottomLeft" activeCell="L26" sqref="L26:L30"/>
      <selection pane="topRight" activeCell="L26" sqref="L26:L30"/>
    </sheetView>
  </sheetViews>
  <sheetFormatPr defaultColWidth="11.42578125" defaultRowHeight="14.25"/>
  <cols>
    <col min="1" max="1" width="2.7109375" style="5" customWidth="1"/>
    <col min="2" max="2" width="3.7109375" style="3" customWidth="1"/>
    <col min="3" max="3" width="3.28515625" style="6" customWidth="1"/>
    <col min="4" max="4" width="4.28515625" style="5" customWidth="1"/>
    <col min="5" max="5" width="16.42578125" style="13" bestFit="1" customWidth="1"/>
    <col min="6" max="6" width="7.28515625" style="5" customWidth="1"/>
    <col min="7" max="7" width="11.7109375" style="5" customWidth="1"/>
    <col min="8" max="8" width="15.7109375" style="13" customWidth="1"/>
    <col min="9" max="9" width="6.7109375" style="5" customWidth="1"/>
    <col min="10" max="10" width="11.7109375" style="5" customWidth="1"/>
    <col min="11" max="11" width="9.7109375" style="5" customWidth="1"/>
    <col min="12" max="12" width="12.28515625" style="5" bestFit="1" customWidth="1"/>
    <col min="13" max="13" width="13.5703125" style="5" bestFit="1" customWidth="1"/>
    <col min="14" max="15" width="12.28515625" style="5" bestFit="1" customWidth="1"/>
    <col min="16" max="16" width="11.85546875" style="5" customWidth="1"/>
    <col min="17" max="17" width="12.28515625" style="5" hidden="1" customWidth="1"/>
    <col min="18" max="18" width="12.5703125" style="5" bestFit="1" customWidth="1"/>
    <col min="19" max="19" width="15.42578125" style="5" bestFit="1" customWidth="1"/>
    <col min="20" max="20" width="11.5703125" style="5" bestFit="1" customWidth="1"/>
    <col min="21" max="21" width="2.42578125" style="5" bestFit="1" customWidth="1"/>
    <col min="22" max="22" width="7" style="5" bestFit="1" customWidth="1"/>
    <col min="23" max="23" width="13.7109375" style="148" bestFit="1" customWidth="1"/>
    <col min="24" max="24" width="3" style="5" bestFit="1" customWidth="1"/>
    <col min="25" max="25" width="4.85546875" style="5" bestFit="1" customWidth="1"/>
    <col min="26" max="26" width="9.42578125" style="5" bestFit="1" customWidth="1"/>
    <col min="27" max="16384" width="11.42578125" style="5"/>
  </cols>
  <sheetData>
    <row r="1" spans="2:27" s="7" customFormat="1" ht="20.25">
      <c r="B1" s="18" t="str">
        <f>Teilnehmer!B1</f>
        <v>20. Fürst von Wrede Rallye 2024</v>
      </c>
      <c r="C1" s="18"/>
      <c r="D1" s="18"/>
      <c r="E1" s="18"/>
      <c r="F1" s="18"/>
      <c r="G1" s="18"/>
      <c r="H1" s="18"/>
      <c r="I1" s="18"/>
      <c r="J1" s="18"/>
      <c r="K1" s="18"/>
      <c r="L1" s="18"/>
      <c r="M1" s="18"/>
      <c r="N1" s="18"/>
      <c r="O1" s="18"/>
      <c r="P1" s="18"/>
      <c r="Q1" s="18"/>
      <c r="R1" s="18"/>
      <c r="S1" s="18"/>
      <c r="W1" s="147"/>
      <c r="Y1" s="62"/>
      <c r="Z1" s="61" t="s">
        <v>312</v>
      </c>
      <c r="AA1" s="101" t="s">
        <v>58</v>
      </c>
    </row>
    <row r="2" spans="2:27" s="7" customFormat="1" ht="14.1" customHeight="1">
      <c r="B2" s="37"/>
      <c r="C2" s="37"/>
      <c r="D2" s="37"/>
      <c r="E2" s="37"/>
      <c r="F2" s="37"/>
      <c r="G2" s="37"/>
      <c r="H2" s="37"/>
      <c r="I2" s="37"/>
      <c r="J2" s="37"/>
      <c r="K2" s="37"/>
      <c r="L2" s="37"/>
      <c r="M2" s="37"/>
      <c r="N2" s="37"/>
      <c r="O2" s="37"/>
      <c r="P2" s="37"/>
      <c r="Q2" s="37"/>
      <c r="R2" s="37"/>
      <c r="S2" s="37"/>
      <c r="W2" s="147"/>
      <c r="X2" s="51" t="s">
        <v>18</v>
      </c>
      <c r="Y2" s="52">
        <f>Teilnehmer!$U$5</f>
        <v>0.2</v>
      </c>
      <c r="Z2" s="53">
        <f>ROUND($L$4*Y2,0.5)</f>
        <v>2</v>
      </c>
    </row>
    <row r="3" spans="2:27" ht="15" customHeight="1">
      <c r="V3" s="335" t="s">
        <v>313</v>
      </c>
      <c r="W3" s="343" t="s">
        <v>314</v>
      </c>
      <c r="X3" s="54" t="s">
        <v>26</v>
      </c>
      <c r="Y3" s="49">
        <f>Teilnehmer!$U$6</f>
        <v>0.25</v>
      </c>
      <c r="Z3" s="55">
        <f>Z2+ROUND($L$4*Y3,0.5)</f>
        <v>5</v>
      </c>
    </row>
    <row r="4" spans="2:27" ht="15.75" customHeight="1">
      <c r="E4" s="8" t="s">
        <v>315</v>
      </c>
      <c r="G4" s="8" t="s">
        <v>316</v>
      </c>
      <c r="H4" s="9" t="s">
        <v>3</v>
      </c>
      <c r="I4" s="10">
        <v>4</v>
      </c>
      <c r="L4" s="11">
        <f>COUNTA(D7:D17)</f>
        <v>11</v>
      </c>
      <c r="M4" s="8" t="s">
        <v>317</v>
      </c>
      <c r="V4" s="335"/>
      <c r="W4" s="343"/>
      <c r="X4" s="56" t="s">
        <v>33</v>
      </c>
      <c r="Y4" s="50">
        <f>Teilnehmer!$U$7</f>
        <v>0.3</v>
      </c>
      <c r="Z4" s="57">
        <f>Z3+ROUND($L$4*Y4,0.5)</f>
        <v>8</v>
      </c>
    </row>
    <row r="5" spans="2:27" ht="15.75" customHeight="1" thickBot="1">
      <c r="L5" s="15">
        <f>L4-Teilnehmer!P7</f>
        <v>0</v>
      </c>
      <c r="M5" s="15" t="s">
        <v>283</v>
      </c>
      <c r="V5" s="335"/>
      <c r="W5" s="343"/>
      <c r="X5" s="58" t="s">
        <v>39</v>
      </c>
      <c r="Y5" s="59" t="s">
        <v>40</v>
      </c>
      <c r="Z5" s="60"/>
    </row>
    <row r="6" spans="2:27" s="183" customFormat="1" ht="29.25">
      <c r="B6" s="19" t="s">
        <v>318</v>
      </c>
      <c r="C6" s="20" t="s">
        <v>319</v>
      </c>
      <c r="D6" s="21" t="s">
        <v>299</v>
      </c>
      <c r="E6" s="20" t="s">
        <v>4</v>
      </c>
      <c r="F6" s="22" t="s">
        <v>5</v>
      </c>
      <c r="G6" s="20" t="s">
        <v>6</v>
      </c>
      <c r="H6" s="20" t="s">
        <v>7</v>
      </c>
      <c r="I6" s="22" t="s">
        <v>5</v>
      </c>
      <c r="J6" s="20" t="s">
        <v>6</v>
      </c>
      <c r="K6" s="20" t="s">
        <v>8</v>
      </c>
      <c r="L6" s="22" t="s">
        <v>320</v>
      </c>
      <c r="M6" s="22" t="s">
        <v>321</v>
      </c>
      <c r="N6" s="22" t="s">
        <v>322</v>
      </c>
      <c r="O6" s="22" t="s">
        <v>323</v>
      </c>
      <c r="P6" s="22" t="s">
        <v>324</v>
      </c>
      <c r="Q6" s="22" t="s">
        <v>325</v>
      </c>
      <c r="R6" s="236" t="s">
        <v>297</v>
      </c>
      <c r="S6" s="240" t="s">
        <v>326</v>
      </c>
      <c r="T6" s="238" t="s">
        <v>327</v>
      </c>
      <c r="V6" s="335"/>
      <c r="W6" s="343"/>
      <c r="X6" s="204"/>
    </row>
    <row r="7" spans="2:27" s="197" customFormat="1" ht="27.75" customHeight="1">
      <c r="B7" s="188">
        <v>1</v>
      </c>
      <c r="C7" s="190" t="str">
        <f>IF(ISBLANK(D7),"",IF(B7&lt;=$Z$2,"G",IF(AND(B7&gt;$Z$2,B7&lt;=$Z$3),"S",IF(AND(B7&gt;$Z$3,B7&lt;=$Z$4),"B","E"))))</f>
        <v>G</v>
      </c>
      <c r="D7" s="205">
        <v>70</v>
      </c>
      <c r="E7" s="181" t="str">
        <f>IF(ISBLANK($D7),"",VLOOKUP($D7,Teilnehmer!$B$4:$K$199,4,0))</f>
        <v>Schuhmacher Helmut</v>
      </c>
      <c r="F7" s="286" t="str">
        <f>IF(ISBLANK($D7),"",VLOOKUP($D7,Teilnehmer!$B$4:$K$199,5,0))</f>
        <v>-</v>
      </c>
      <c r="G7" s="287" t="str">
        <f>IF(ISBLANK($D7),"",VLOOKUP($D7,Teilnehmer!$B$4:$K$199,6,0))</f>
        <v>ADAC OC Schwäbisch Hall</v>
      </c>
      <c r="H7" s="181" t="str">
        <f>IF(ISBLANK($D7),"",VLOOKUP($D7,Teilnehmer!$B$4:$K$199,7,0))</f>
        <v>Schuhmacher Marcel</v>
      </c>
      <c r="I7" s="286" t="str">
        <f>IF(ISBLANK($D7),"",VLOOKUP($D7,Teilnehmer!$B$4:$K$199,8,0))</f>
        <v>-</v>
      </c>
      <c r="J7" s="287" t="str">
        <f>IF(ISBLANK($D7),"",VLOOKUP($D7,Teilnehmer!$B$4:$K$199,9,0))</f>
        <v>ADAC OC Schwäbisch Hall</v>
      </c>
      <c r="K7" s="206" t="str">
        <f>IF(ISBLANK($D7),"",VLOOKUP($D7,Teilnehmer!$B$4:$K$199,10,0))</f>
        <v>BMW E36 318is</v>
      </c>
      <c r="L7" s="207">
        <f>IF(ISBLANK($D7),"",VLOOKUP($D7,'Ausgabe Zeiten'!M:AV,4,0))</f>
        <v>4.0711805555555536E-3</v>
      </c>
      <c r="M7" s="207">
        <f>IF(ISBLANK($D7),"",VLOOKUP($D7,'Ausgabe Zeiten'!M:AV,9,0))</f>
        <v>4.4800925925926327E-3</v>
      </c>
      <c r="N7" s="207">
        <f>IF(ISBLANK($D7),"",VLOOKUP($D7,'Ausgabe Zeiten'!M:AV,14,0))</f>
        <v>4.0173611111110619E-3</v>
      </c>
      <c r="O7" s="207">
        <f>IF(ISBLANK($D7),"",VLOOKUP($D7,'Ausgabe Zeiten'!M:AV,19,0))</f>
        <v>4.3922453703705289E-3</v>
      </c>
      <c r="P7" s="207">
        <f>IF(ISBLANK($D7),"",VLOOKUP($D7,'Ausgabe Zeiten'!M:AV,24,0))</f>
        <v>4.0645833333333714E-3</v>
      </c>
      <c r="Q7" s="207">
        <f>IF(ISBLANK($D7),"",VLOOKUP($D7,'Ausgabe Zeiten'!M:AV,29,0))</f>
        <v>0</v>
      </c>
      <c r="R7" s="237">
        <f>IF(ISBLANK($D7),"",VLOOKUP($D7,'Ausgabe Zeiten'!M:AV,35,0))</f>
        <v>0</v>
      </c>
      <c r="S7" s="241">
        <f>IF(ISBLANK($D7),"",VLOOKUP($D7,'Ausgabe Zeiten'!M:AV,36,0))</f>
        <v>2.1025462962963148E-2</v>
      </c>
      <c r="T7" s="239">
        <f>IF(ISBLANK(D7),"",ROUND((23-20*(B7-1)/$L$4),2))</f>
        <v>23</v>
      </c>
      <c r="V7" s="208" t="str">
        <f t="shared" ref="V7:V17" si="0">IF(ISBLANK($D7),"",IF(S7-SUM(L7:R7)=0,"ok","X"))</f>
        <v>ok</v>
      </c>
      <c r="W7" s="198" t="str">
        <f>IF(ISBLANK($D7),"",IF(S8&gt;S7,"ok","Sortierung A bis Z"))</f>
        <v>ok</v>
      </c>
      <c r="X7" s="208"/>
    </row>
    <row r="8" spans="2:27" s="197" customFormat="1" ht="27.75" customHeight="1">
      <c r="B8" s="188">
        <f>IF(ISBLANK(D8),"",B7+1)</f>
        <v>2</v>
      </c>
      <c r="C8" s="190" t="str">
        <f>IF(ISBLANK(D8),"",IF(B8&lt;=$Z$2,"G",IF(AND(B8&gt;$Z$2,B8&lt;=$Z$3),"S",IF(AND(B8&gt;$Z$3,B8&lt;=$Z$4),"B","E"))))</f>
        <v>G</v>
      </c>
      <c r="D8" s="205">
        <v>63</v>
      </c>
      <c r="E8" s="181" t="str">
        <f>IF(ISBLANK($D8),"",VLOOKUP($D8,Teilnehmer!$B$4:$K$199,4,0))</f>
        <v>Schachtner Johann</v>
      </c>
      <c r="F8" s="286">
        <f>IF(ISBLANK($D8),"",VLOOKUP($D8,Teilnehmer!$B$4:$K$199,5,0))</f>
        <v>12813</v>
      </c>
      <c r="G8" s="287" t="str">
        <f>IF(ISBLANK($D8),"",VLOOKUP($D8,Teilnehmer!$B$4:$K$199,6,0))</f>
        <v>MSC Emmersdorf</v>
      </c>
      <c r="H8" s="181" t="str">
        <f>IF(ISBLANK($D8),"",VLOOKUP($D8,Teilnehmer!$B$4:$K$199,7,0))</f>
        <v>Haller Melanie</v>
      </c>
      <c r="I8" s="286">
        <f>IF(ISBLANK($D8),"",VLOOKUP($D8,Teilnehmer!$B$4:$K$199,8,0))</f>
        <v>15542</v>
      </c>
      <c r="J8" s="287" t="str">
        <f>IF(ISBLANK($D8),"",VLOOKUP($D8,Teilnehmer!$B$4:$K$199,9,0))</f>
        <v>MSC Mamming / SCC Grünthal</v>
      </c>
      <c r="K8" s="206" t="str">
        <f>IF(ISBLANK($D8),"",VLOOKUP($D8,Teilnehmer!$B$4:$K$199,10,0))</f>
        <v>Mazda MX 5</v>
      </c>
      <c r="L8" s="207">
        <f>IF(ISBLANK($D8),"",VLOOKUP($D8,'Ausgabe Zeiten'!M:AV,4,0))</f>
        <v>4.0627314814815074E-3</v>
      </c>
      <c r="M8" s="207">
        <f>IF(ISBLANK($D8),"",VLOOKUP($D8,'Ausgabe Zeiten'!M:AV,9,0))</f>
        <v>4.6136574074073788E-3</v>
      </c>
      <c r="N8" s="207">
        <f>IF(ISBLANK($D8),"",VLOOKUP($D8,'Ausgabe Zeiten'!M:AV,14,0))</f>
        <v>3.980208333333346E-3</v>
      </c>
      <c r="O8" s="207">
        <f>IF(ISBLANK($D8),"",VLOOKUP($D8,'Ausgabe Zeiten'!M:AV,19,0))</f>
        <v>4.4839120370370189E-3</v>
      </c>
      <c r="P8" s="207">
        <f>IF(ISBLANK($D8),"",VLOOKUP($D8,'Ausgabe Zeiten'!M:AV,24,0))</f>
        <v>3.9819444444445518E-3</v>
      </c>
      <c r="Q8" s="207">
        <f>IF(ISBLANK($D8),"",VLOOKUP($D8,'Ausgabe Zeiten'!M:AV,29,0))</f>
        <v>0</v>
      </c>
      <c r="R8" s="237">
        <f>IF(ISBLANK($D8),"",VLOOKUP($D8,'Ausgabe Zeiten'!M:AV,35,0))</f>
        <v>0</v>
      </c>
      <c r="S8" s="241">
        <f>IF(ISBLANK($D8),"",VLOOKUP($D8,'Ausgabe Zeiten'!M:AV,36,0))</f>
        <v>2.1122453703703803E-2</v>
      </c>
      <c r="T8" s="239">
        <f>IF(ISBLANK(D8),"",ROUND((23-20*(B8-1)/$L$4),2))</f>
        <v>21.18</v>
      </c>
      <c r="V8" s="208" t="str">
        <f t="shared" si="0"/>
        <v>ok</v>
      </c>
      <c r="W8" s="198" t="str">
        <f t="shared" ref="W8:W13" si="1">IF(ISBLANK($D8),"",IF(S9&gt;S8,"ok","Sortierung A bis Z"))</f>
        <v>ok</v>
      </c>
      <c r="X8" s="208"/>
    </row>
    <row r="9" spans="2:27" s="197" customFormat="1" ht="27.75" customHeight="1">
      <c r="B9" s="188">
        <f t="shared" ref="B9:B10" si="2">IF(ISBLANK(D9),"",B8+1)</f>
        <v>3</v>
      </c>
      <c r="C9" s="190" t="str">
        <f>IF(ISBLANK(D9),"",IF(B9&lt;=$Z$2,"G",IF(AND(B9&gt;$Z$2,B9&lt;=$Z$3),"S",IF(AND(B9&gt;$Z$3,B9&lt;=$Z$4),"B","E"))))</f>
        <v>S</v>
      </c>
      <c r="D9" s="205">
        <v>65</v>
      </c>
      <c r="E9" s="181" t="str">
        <f>IF(ISBLANK($D9),"",VLOOKUP($D9,Teilnehmer!$B$4:$K$199,4,0))</f>
        <v>Meier Georg</v>
      </c>
      <c r="F9" s="286">
        <f>IF(ISBLANK($D9),"",VLOOKUP($D9,Teilnehmer!$B$4:$K$199,5,0))</f>
        <v>16425</v>
      </c>
      <c r="G9" s="287" t="str">
        <f>IF(ISBLANK($D9),"",VLOOKUP($D9,Teilnehmer!$B$4:$K$199,6,0))</f>
        <v>SWF Weidwies</v>
      </c>
      <c r="H9" s="181" t="str">
        <f>IF(ISBLANK($D9),"",VLOOKUP($D9,Teilnehmer!$B$4:$K$199,7,0))</f>
        <v>Eder Markus</v>
      </c>
      <c r="I9" s="286">
        <f>IF(ISBLANK($D9),"",VLOOKUP($D9,Teilnehmer!$B$4:$K$199,8,0))</f>
        <v>16426</v>
      </c>
      <c r="J9" s="287" t="str">
        <f>IF(ISBLANK($D9),"",VLOOKUP($D9,Teilnehmer!$B$4:$K$199,9,0))</f>
        <v>SWF Weidwies</v>
      </c>
      <c r="K9" s="206" t="str">
        <f>IF(ISBLANK($D9),"",VLOOKUP($D9,Teilnehmer!$B$4:$K$199,10,0))</f>
        <v>BMW 318ti</v>
      </c>
      <c r="L9" s="207">
        <f>IF(ISBLANK($D9),"",VLOOKUP($D9,'Ausgabe Zeiten'!M:AV,4,0))</f>
        <v>4.1968749999999888E-3</v>
      </c>
      <c r="M9" s="207">
        <f>IF(ISBLANK($D9),"",VLOOKUP($D9,'Ausgabe Zeiten'!M:AV,9,0))</f>
        <v>4.5283564814815325E-3</v>
      </c>
      <c r="N9" s="207">
        <f>IF(ISBLANK($D9),"",VLOOKUP($D9,'Ausgabe Zeiten'!M:AV,14,0))</f>
        <v>4.0747685185185123E-3</v>
      </c>
      <c r="O9" s="207">
        <f>IF(ISBLANK($D9),"",VLOOKUP($D9,'Ausgabe Zeiten'!M:AV,19,0))</f>
        <v>4.3185185185186103E-3</v>
      </c>
      <c r="P9" s="207">
        <f>IF(ISBLANK($D9),"",VLOOKUP($D9,'Ausgabe Zeiten'!M:AV,24,0))</f>
        <v>4.054166666666692E-3</v>
      </c>
      <c r="Q9" s="207">
        <f>IF(ISBLANK($D9),"",VLOOKUP($D9,'Ausgabe Zeiten'!M:AV,29,0))</f>
        <v>0</v>
      </c>
      <c r="R9" s="237">
        <f>IF(ISBLANK($D9),"",VLOOKUP($D9,'Ausgabe Zeiten'!M:AV,35,0))</f>
        <v>0</v>
      </c>
      <c r="S9" s="241">
        <f>IF(ISBLANK($D9),"",VLOOKUP($D9,'Ausgabe Zeiten'!M:AV,36,0))</f>
        <v>2.1172685185185336E-2</v>
      </c>
      <c r="T9" s="239">
        <f t="shared" ref="T9:T17" si="3">IF(ISBLANK(D9),"",ROUND((23-20*(B9-1)/$L$4),2))</f>
        <v>19.36</v>
      </c>
      <c r="V9" s="208" t="str">
        <f t="shared" si="0"/>
        <v>ok</v>
      </c>
      <c r="W9" s="198" t="str">
        <f t="shared" si="1"/>
        <v>ok</v>
      </c>
      <c r="X9" s="208"/>
    </row>
    <row r="10" spans="2:27" s="197" customFormat="1" ht="27.75" customHeight="1">
      <c r="B10" s="188">
        <f t="shared" si="2"/>
        <v>4</v>
      </c>
      <c r="C10" s="190" t="str">
        <f>IF(ISBLANK(D10),"",IF(B10&lt;=$Z$2,"G",IF(AND(B10&gt;$Z$2,B10&lt;=$Z$3),"S",IF(AND(B10&gt;$Z$3,B10&lt;=$Z$4),"B","E"))))</f>
        <v>S</v>
      </c>
      <c r="D10" s="205">
        <v>62</v>
      </c>
      <c r="E10" s="181" t="str">
        <f>IF(ISBLANK($D10),"",VLOOKUP($D10,Teilnehmer!$B$4:$K$199,4,0))</f>
        <v>Neumaier Martin</v>
      </c>
      <c r="F10" s="286">
        <f>IF(ISBLANK($D10),"",VLOOKUP($D10,Teilnehmer!$B$4:$K$199,5,0))</f>
        <v>16132</v>
      </c>
      <c r="G10" s="287" t="str">
        <f>IF(ISBLANK($D10),"",VLOOKUP($D10,Teilnehmer!$B$4:$K$199,6,0))</f>
        <v>MSC Mamming</v>
      </c>
      <c r="H10" s="181" t="str">
        <f>IF(ISBLANK($D10),"",VLOOKUP($D10,Teilnehmer!$B$4:$K$199,7,0))</f>
        <v>Neumaier Martina</v>
      </c>
      <c r="I10" s="286">
        <f>IF(ISBLANK($D10),"",VLOOKUP($D10,Teilnehmer!$B$4:$K$199,8,0))</f>
        <v>16297</v>
      </c>
      <c r="J10" s="287" t="str">
        <f>IF(ISBLANK($D10),"",VLOOKUP($D10,Teilnehmer!$B$4:$K$199,9,0))</f>
        <v>MSC Mamming</v>
      </c>
      <c r="K10" s="206" t="str">
        <f>IF(ISBLANK($D10),"",VLOOKUP($D10,Teilnehmer!$B$4:$K$199,10,0))</f>
        <v>VW Golf II 16V</v>
      </c>
      <c r="L10" s="207">
        <f>IF(ISBLANK($D10),"",VLOOKUP($D10,'Ausgabe Zeiten'!M:AV,4,0))</f>
        <v>4.2114583333332511E-3</v>
      </c>
      <c r="M10" s="207">
        <f>IF(ISBLANK($D10),"",VLOOKUP($D10,'Ausgabe Zeiten'!M:AV,9,0))</f>
        <v>4.4986111111111615E-3</v>
      </c>
      <c r="N10" s="207">
        <f>IF(ISBLANK($D10),"",VLOOKUP($D10,'Ausgabe Zeiten'!M:AV,14,0))</f>
        <v>4.1280092592593798E-3</v>
      </c>
      <c r="O10" s="207">
        <f>IF(ISBLANK($D10),"",VLOOKUP($D10,'Ausgabe Zeiten'!M:AV,19,0))</f>
        <v>4.351388888888863E-3</v>
      </c>
      <c r="P10" s="207">
        <f>IF(ISBLANK($D10),"",VLOOKUP($D10,'Ausgabe Zeiten'!M:AV,24,0))</f>
        <v>4.1259259259258663E-3</v>
      </c>
      <c r="Q10" s="207">
        <f>IF(ISBLANK($D10),"",VLOOKUP($D10,'Ausgabe Zeiten'!M:AV,29,0))</f>
        <v>0</v>
      </c>
      <c r="R10" s="237">
        <f>IF(ISBLANK($D10),"",VLOOKUP($D10,'Ausgabe Zeiten'!M:AV,35,0))</f>
        <v>0</v>
      </c>
      <c r="S10" s="241">
        <f>IF(ISBLANK($D10),"",VLOOKUP($D10,'Ausgabe Zeiten'!M:AV,36,0))</f>
        <v>2.1315393518518522E-2</v>
      </c>
      <c r="T10" s="239">
        <f t="shared" si="3"/>
        <v>17.55</v>
      </c>
      <c r="V10" s="208" t="str">
        <f t="shared" si="0"/>
        <v>ok</v>
      </c>
      <c r="W10" s="198" t="str">
        <f t="shared" si="1"/>
        <v>ok</v>
      </c>
      <c r="X10" s="208"/>
    </row>
    <row r="11" spans="2:27" s="197" customFormat="1" ht="27.75" customHeight="1">
      <c r="B11" s="188">
        <f t="shared" ref="B11" si="4">IF(ISBLANK(D11),"",B10+1)</f>
        <v>5</v>
      </c>
      <c r="C11" s="190" t="str">
        <f>IF(ISBLANK(D11),"",IF(B11&lt;=$Z$2,"G",IF(AND(B11&gt;$Z$2,B11&lt;=$Z$3),"S",IF(AND(B11&gt;$Z$3,B11&lt;=$Z$4),"B","E"))))</f>
        <v>S</v>
      </c>
      <c r="D11" s="205">
        <v>66</v>
      </c>
      <c r="E11" s="181" t="str">
        <f>IF(ISBLANK($D11),"",VLOOKUP($D11,Teilnehmer!$B$4:$K$199,4,0))</f>
        <v>Oberneder Josef</v>
      </c>
      <c r="F11" s="286">
        <f>IF(ISBLANK($D11),"",VLOOKUP($D11,Teilnehmer!$B$4:$K$199,5,0))</f>
        <v>14172</v>
      </c>
      <c r="G11" s="287" t="str">
        <f>IF(ISBLANK($D11),"",VLOOKUP($D11,Teilnehmer!$B$4:$K$199,6,0))</f>
        <v>SWF Weidwies</v>
      </c>
      <c r="H11" s="181" t="str">
        <f>IF(ISBLANK($D11),"",VLOOKUP($D11,Teilnehmer!$B$4:$K$199,7,0))</f>
        <v>Krenn Christina</v>
      </c>
      <c r="I11" s="286">
        <f>IF(ISBLANK($D11),"",VLOOKUP($D11,Teilnehmer!$B$4:$K$199,8,0))</f>
        <v>14748</v>
      </c>
      <c r="J11" s="287" t="str">
        <f>IF(ISBLANK($D11),"",VLOOKUP($D11,Teilnehmer!$B$4:$K$199,9,0))</f>
        <v>SWF Weidwies</v>
      </c>
      <c r="K11" s="206" t="str">
        <f>IF(ISBLANK($D11),"",VLOOKUP($D11,Teilnehmer!$B$4:$K$199,10,0))</f>
        <v>VW Golf 2</v>
      </c>
      <c r="L11" s="207">
        <f>IF(ISBLANK($D11),"",VLOOKUP($D11,'Ausgabe Zeiten'!M:AV,4,0))</f>
        <v>4.2449074074074611E-3</v>
      </c>
      <c r="M11" s="207">
        <f>IF(ISBLANK($D11),"",VLOOKUP($D11,'Ausgabe Zeiten'!M:AV,9,0))</f>
        <v>4.6028935185185027E-3</v>
      </c>
      <c r="N11" s="207">
        <f>IF(ISBLANK($D11),"",VLOOKUP($D11,'Ausgabe Zeiten'!M:AV,14,0))</f>
        <v>4.2049768518518382E-3</v>
      </c>
      <c r="O11" s="207">
        <f>IF(ISBLANK($D11),"",VLOOKUP($D11,'Ausgabe Zeiten'!M:AV,19,0))</f>
        <v>4.4791666666667007E-3</v>
      </c>
      <c r="P11" s="207">
        <f>IF(ISBLANK($D11),"",VLOOKUP($D11,'Ausgabe Zeiten'!M:AV,24,0))</f>
        <v>4.0946759259258281E-3</v>
      </c>
      <c r="Q11" s="207">
        <f>IF(ISBLANK($D11),"",VLOOKUP($D11,'Ausgabe Zeiten'!M:AV,29,0))</f>
        <v>0</v>
      </c>
      <c r="R11" s="237">
        <f>IF(ISBLANK($D11),"",VLOOKUP($D11,'Ausgabe Zeiten'!M:AV,35,0))</f>
        <v>0</v>
      </c>
      <c r="S11" s="241">
        <f>IF(ISBLANK($D11),"",VLOOKUP($D11,'Ausgabe Zeiten'!M:AV,36,0))</f>
        <v>2.1626620370370331E-2</v>
      </c>
      <c r="T11" s="239">
        <f t="shared" si="3"/>
        <v>15.73</v>
      </c>
      <c r="V11" s="208" t="str">
        <f t="shared" si="0"/>
        <v>ok</v>
      </c>
      <c r="W11" s="198" t="str">
        <f t="shared" si="1"/>
        <v>ok</v>
      </c>
      <c r="X11" s="208"/>
    </row>
    <row r="12" spans="2:27" s="197" customFormat="1" ht="27.75" customHeight="1">
      <c r="B12" s="188">
        <f t="shared" ref="B12:B17" si="5">IF(ISBLANK(D12),"",B11+1)</f>
        <v>6</v>
      </c>
      <c r="C12" s="190" t="str">
        <f>IF(ISBLANK(D12),"",IF(B12&lt;=$Z$2,"G",IF(AND(B12&gt;$Z$2,B12&lt;=$Z$3),"S",IF(AND(B12&gt;$Z$3,B12&lt;=$Z$4),"B","E"))))</f>
        <v>B</v>
      </c>
      <c r="D12" s="205">
        <v>61</v>
      </c>
      <c r="E12" s="181" t="str">
        <f>IF(ISBLANK($D12),"",VLOOKUP($D12,Teilnehmer!$B$4:$K$199,4,0))</f>
        <v>Schulze Enrico</v>
      </c>
      <c r="F12" s="286">
        <f>IF(ISBLANK($D12),"",VLOOKUP($D12,Teilnehmer!$B$4:$K$199,5,0))</f>
        <v>15209</v>
      </c>
      <c r="G12" s="287" t="str">
        <f>IF(ISBLANK($D12),"",VLOOKUP($D12,Teilnehmer!$B$4:$K$199,6,0))</f>
        <v>Boxenstop Regensburg</v>
      </c>
      <c r="H12" s="181" t="str">
        <f>IF(ISBLANK($D12),"",VLOOKUP($D12,Teilnehmer!$B$4:$K$199,7,0))</f>
        <v>Lockstet Sebastian</v>
      </c>
      <c r="I12" s="286">
        <f>IF(ISBLANK($D12),"",VLOOKUP($D12,Teilnehmer!$B$4:$K$199,8,0))</f>
        <v>14869</v>
      </c>
      <c r="J12" s="287" t="str">
        <f>IF(ISBLANK($D12),"",VLOOKUP($D12,Teilnehmer!$B$4:$K$199,9,0))</f>
        <v>VEB Konsum Genossenschaft Mücheln</v>
      </c>
      <c r="K12" s="206" t="str">
        <f>IF(ISBLANK($D12),"",VLOOKUP($D12,Teilnehmer!$B$4:$K$199,10,0))</f>
        <v>Subaru Impreza</v>
      </c>
      <c r="L12" s="207">
        <f>IF(ISBLANK($D12),"",VLOOKUP($D12,'Ausgabe Zeiten'!M:AV,4,0))</f>
        <v>4.2524305555555753E-3</v>
      </c>
      <c r="M12" s="207">
        <f>IF(ISBLANK($D12),"",VLOOKUP($D12,'Ausgabe Zeiten'!M:AV,9,0))</f>
        <v>4.6964120370370788E-3</v>
      </c>
      <c r="N12" s="207">
        <f>IF(ISBLANK($D12),"",VLOOKUP($D12,'Ausgabe Zeiten'!M:AV,14,0))</f>
        <v>4.1782407407406907E-3</v>
      </c>
      <c r="O12" s="207">
        <f>IF(ISBLANK($D12),"",VLOOKUP($D12,'Ausgabe Zeiten'!M:AV,19,0))</f>
        <v>4.5192129629628708E-3</v>
      </c>
      <c r="P12" s="207">
        <f>IF(ISBLANK($D12),"",VLOOKUP($D12,'Ausgabe Zeiten'!M:AV,24,0))</f>
        <v>4.1578703703702979E-3</v>
      </c>
      <c r="Q12" s="207">
        <f>IF(ISBLANK($D12),"",VLOOKUP($D12,'Ausgabe Zeiten'!M:AV,29,0))</f>
        <v>0</v>
      </c>
      <c r="R12" s="237">
        <f>IF(ISBLANK($D12),"",VLOOKUP($D12,'Ausgabe Zeiten'!M:AV,35,0))</f>
        <v>3.4722222222222224E-4</v>
      </c>
      <c r="S12" s="241">
        <f>IF(ISBLANK($D12),"",VLOOKUP($D12,'Ausgabe Zeiten'!M:AV,36,0))</f>
        <v>2.2151388888888734E-2</v>
      </c>
      <c r="T12" s="239">
        <f t="shared" si="3"/>
        <v>13.91</v>
      </c>
      <c r="V12" s="208" t="str">
        <f t="shared" si="0"/>
        <v>ok</v>
      </c>
      <c r="W12" s="198" t="str">
        <f t="shared" si="1"/>
        <v>ok</v>
      </c>
      <c r="X12" s="208"/>
    </row>
    <row r="13" spans="2:27" s="197" customFormat="1" ht="27.75" customHeight="1">
      <c r="B13" s="188">
        <f t="shared" si="5"/>
        <v>7</v>
      </c>
      <c r="C13" s="190" t="str">
        <f>IF(ISBLANK(D13),"",IF(B13&lt;=$Z$2,"G",IF(AND(B13&gt;$Z$2,B13&lt;=$Z$3),"S",IF(AND(B13&gt;$Z$3,B13&lt;=$Z$4),"B","E"))))</f>
        <v>B</v>
      </c>
      <c r="D13" s="205">
        <v>68</v>
      </c>
      <c r="E13" s="181" t="str">
        <f>IF(ISBLANK($D13),"",VLOOKUP($D13,Teilnehmer!$B$4:$K$199,4,0))</f>
        <v>Deisinger Justin</v>
      </c>
      <c r="F13" s="286" t="str">
        <f>IF(ISBLANK($D13),"",VLOOKUP($D13,Teilnehmer!$B$4:$K$199,5,0))</f>
        <v>-</v>
      </c>
      <c r="G13" s="287" t="str">
        <f>IF(ISBLANK($D13),"",VLOOKUP($D13,Teilnehmer!$B$4:$K$199,6,0))</f>
        <v>Deisinger Motorsport</v>
      </c>
      <c r="H13" s="181" t="str">
        <f>IF(ISBLANK($D13),"",VLOOKUP($D13,Teilnehmer!$B$4:$K$199,7,0))</f>
        <v>Ochs Maximilian</v>
      </c>
      <c r="I13" s="286" t="str">
        <f>IF(ISBLANK($D13),"",VLOOKUP($D13,Teilnehmer!$B$4:$K$199,8,0))</f>
        <v>-</v>
      </c>
      <c r="J13" s="287" t="str">
        <f>IF(ISBLANK($D13),"",VLOOKUP($D13,Teilnehmer!$B$4:$K$199,9,0))</f>
        <v>Deisinger Motorsport</v>
      </c>
      <c r="K13" s="206" t="str">
        <f>IF(ISBLANK($D13),"",VLOOKUP($D13,Teilnehmer!$B$4:$K$199,10,0))</f>
        <v>Opel Kadett E GSi</v>
      </c>
      <c r="L13" s="207">
        <f>IF(ISBLANK($D13),"",VLOOKUP($D13,'Ausgabe Zeiten'!M:AV,4,0))</f>
        <v>4.277430555555517E-3</v>
      </c>
      <c r="M13" s="207">
        <f>IF(ISBLANK($D13),"",VLOOKUP($D13,'Ausgabe Zeiten'!M:AV,9,0))</f>
        <v>4.9773148148148927E-3</v>
      </c>
      <c r="N13" s="207">
        <f>IF(ISBLANK($D13),"",VLOOKUP($D13,'Ausgabe Zeiten'!M:AV,14,0))</f>
        <v>4.1370370370370502E-3</v>
      </c>
      <c r="O13" s="207">
        <f>IF(ISBLANK($D13),"",VLOOKUP($D13,'Ausgabe Zeiten'!M:AV,19,0))</f>
        <v>4.7863425925925851E-3</v>
      </c>
      <c r="P13" s="207">
        <f>IF(ISBLANK($D13),"",VLOOKUP($D13,'Ausgabe Zeiten'!M:AV,24,0))</f>
        <v>4.1195601851852226E-3</v>
      </c>
      <c r="Q13" s="207">
        <f>IF(ISBLANK($D13),"",VLOOKUP($D13,'Ausgabe Zeiten'!M:AV,29,0))</f>
        <v>0</v>
      </c>
      <c r="R13" s="237">
        <f>IF(ISBLANK($D13),"",VLOOKUP($D13,'Ausgabe Zeiten'!M:AV,35,0))</f>
        <v>0</v>
      </c>
      <c r="S13" s="241">
        <f>IF(ISBLANK($D13),"",VLOOKUP($D13,'Ausgabe Zeiten'!M:AV,36,0))</f>
        <v>2.2297685185185268E-2</v>
      </c>
      <c r="T13" s="239">
        <f t="shared" si="3"/>
        <v>12.09</v>
      </c>
      <c r="V13" s="208" t="str">
        <f t="shared" si="0"/>
        <v>ok</v>
      </c>
      <c r="W13" s="198" t="str">
        <f t="shared" si="1"/>
        <v>ok</v>
      </c>
      <c r="X13" s="208"/>
    </row>
    <row r="14" spans="2:27" s="197" customFormat="1" ht="27.75" customHeight="1">
      <c r="B14" s="188">
        <f t="shared" si="5"/>
        <v>8</v>
      </c>
      <c r="C14" s="190" t="str">
        <f>IF(ISBLANK(D14),"",IF(B14&lt;=$Z$2,"G",IF(AND(B14&gt;$Z$2,B14&lt;=$Z$3),"S",IF(AND(B14&gt;$Z$3,B14&lt;=$Z$4),"B","E"))))</f>
        <v>B</v>
      </c>
      <c r="D14" s="205">
        <v>64</v>
      </c>
      <c r="E14" s="181" t="str">
        <f>IF(ISBLANK($D14),"",VLOOKUP($D14,Teilnehmer!$B$4:$K$199,4,0))</f>
        <v>Leidel Stefan</v>
      </c>
      <c r="F14" s="286">
        <f>IF(ISBLANK($D14),"",VLOOKUP($D14,Teilnehmer!$B$4:$K$199,5,0))</f>
        <v>15498</v>
      </c>
      <c r="G14" s="287" t="str">
        <f>IF(ISBLANK($D14),"",VLOOKUP($D14,Teilnehmer!$B$4:$K$199,6,0))</f>
        <v>-</v>
      </c>
      <c r="H14" s="181" t="str">
        <f>IF(ISBLANK($D14),"",VLOOKUP($D14,Teilnehmer!$B$4:$K$199,7,0))</f>
        <v>Nemeth Christian</v>
      </c>
      <c r="I14" s="286">
        <f>IF(ISBLANK($D14),"",VLOOKUP($D14,Teilnehmer!$B$4:$K$199,8,0))</f>
        <v>16424</v>
      </c>
      <c r="J14" s="287" t="str">
        <f>IF(ISBLANK($D14),"",VLOOKUP($D14,Teilnehmer!$B$4:$K$199,9,0))</f>
        <v>-</v>
      </c>
      <c r="K14" s="206" t="str">
        <f>IF(ISBLANK($D14),"",VLOOKUP($D14,Teilnehmer!$B$4:$K$199,10,0))</f>
        <v>BMW E30 318IS</v>
      </c>
      <c r="L14" s="207">
        <f>IF(ISBLANK($D14),"",VLOOKUP($D14,'Ausgabe Zeiten'!M:AV,4,0))</f>
        <v>4.3122685185185139E-3</v>
      </c>
      <c r="M14" s="207">
        <f>IF(ISBLANK($D14),"",VLOOKUP($D14,'Ausgabe Zeiten'!M:AV,9,0))</f>
        <v>4.843518518518497E-3</v>
      </c>
      <c r="N14" s="207">
        <f>IF(ISBLANK($D14),"",VLOOKUP($D14,'Ausgabe Zeiten'!M:AV,14,0))</f>
        <v>4.2719907407408053E-3</v>
      </c>
      <c r="O14" s="207">
        <f>IF(ISBLANK($D14),"",VLOOKUP($D14,'Ausgabe Zeiten'!M:AV,19,0))</f>
        <v>4.7210648148149348E-3</v>
      </c>
      <c r="P14" s="207">
        <f>IF(ISBLANK($D14),"",VLOOKUP($D14,'Ausgabe Zeiten'!M:AV,24,0))</f>
        <v>4.2549768518518327E-3</v>
      </c>
      <c r="Q14" s="207">
        <f>IF(ISBLANK($D14),"",VLOOKUP($D14,'Ausgabe Zeiten'!M:AV,29,0))</f>
        <v>0</v>
      </c>
      <c r="R14" s="237">
        <f>IF(ISBLANK($D14),"",VLOOKUP($D14,'Ausgabe Zeiten'!M:AV,35,0))</f>
        <v>0</v>
      </c>
      <c r="S14" s="241">
        <f>IF(ISBLANK($D14),"",VLOOKUP($D14,'Ausgabe Zeiten'!M:AV,36,0))</f>
        <v>2.2403819444444584E-2</v>
      </c>
      <c r="T14" s="239">
        <f t="shared" si="3"/>
        <v>10.27</v>
      </c>
      <c r="V14" s="208" t="str">
        <f t="shared" si="0"/>
        <v>ok</v>
      </c>
      <c r="W14" s="198" t="str">
        <f>IF(ISBLANK($D14),"",IF(S16&gt;S14,"ok","Sortierung A bis Z"))</f>
        <v>ok</v>
      </c>
      <c r="X14" s="208"/>
    </row>
    <row r="15" spans="2:27" s="197" customFormat="1" ht="27.75" customHeight="1">
      <c r="B15" s="188">
        <f t="shared" ref="B15:B16" si="6">IF(ISBLANK(D15),"",B14+1)</f>
        <v>9</v>
      </c>
      <c r="C15" s="190" t="str">
        <f>IF(ISBLANK(D15),"",IF(B15&lt;=$Z$2,"G",IF(AND(B15&gt;$Z$2,B15&lt;=$Z$3),"S",IF(AND(B15&gt;$Z$3,B15&lt;=$Z$4),"B","E"))))</f>
        <v>E</v>
      </c>
      <c r="D15" s="205">
        <v>71</v>
      </c>
      <c r="E15" s="181" t="str">
        <f>IF(ISBLANK($D15),"",VLOOKUP($D15,Teilnehmer!$B$4:$K$199,4,0))</f>
        <v>Ateia Tarek</v>
      </c>
      <c r="F15" s="286" t="str">
        <f>IF(ISBLANK($D15),"",VLOOKUP($D15,Teilnehmer!$B$4:$K$199,5,0))</f>
        <v>-</v>
      </c>
      <c r="G15" s="287" t="str">
        <f>IF(ISBLANK($D15),"",VLOOKUP($D15,Teilnehmer!$B$4:$K$199,6,0))</f>
        <v>-</v>
      </c>
      <c r="H15" s="181" t="str">
        <f>IF(ISBLANK($D15),"",VLOOKUP($D15,Teilnehmer!$B$4:$K$199,7,0))</f>
        <v>Spiske Andreas</v>
      </c>
      <c r="I15" s="286" t="str">
        <f>IF(ISBLANK($D15),"",VLOOKUP($D15,Teilnehmer!$B$4:$K$199,8,0))</f>
        <v>-</v>
      </c>
      <c r="J15" s="287" t="str">
        <f>IF(ISBLANK($D15),"",VLOOKUP($D15,Teilnehmer!$B$4:$K$199,9,0))</f>
        <v>-</v>
      </c>
      <c r="K15" s="206" t="str">
        <f>IF(ISBLANK($D15),"",VLOOKUP($D15,Teilnehmer!$B$4:$K$199,10,0))</f>
        <v>BMW 318ti</v>
      </c>
      <c r="L15" s="207">
        <f>IF(ISBLANK($D15),"",VLOOKUP($D15,'Ausgabe Zeiten'!M:AV,4,0))</f>
        <v>4.2682870370370773E-3</v>
      </c>
      <c r="M15" s="207">
        <f>IF(ISBLANK($D15),"",VLOOKUP($D15,'Ausgabe Zeiten'!M:AV,9,0))</f>
        <v>4.7776620370370004E-3</v>
      </c>
      <c r="N15" s="207">
        <f>IF(ISBLANK($D15),"",VLOOKUP($D15,'Ausgabe Zeiten'!M:AV,14,0))</f>
        <v>4.200231481481409E-3</v>
      </c>
      <c r="O15" s="207">
        <f>IF(ISBLANK($D15),"",VLOOKUP($D15,'Ausgabe Zeiten'!M:AV,19,0))</f>
        <v>4.6342592592591991E-3</v>
      </c>
      <c r="P15" s="207">
        <f>IF(ISBLANK($D15),"",VLOOKUP($D15,'Ausgabe Zeiten'!M:AV,24,0))</f>
        <v>4.1574074074073319E-3</v>
      </c>
      <c r="Q15" s="207">
        <f>IF(ISBLANK($D15),"",VLOOKUP($D15,'Ausgabe Zeiten'!M:AV,29,0))</f>
        <v>0</v>
      </c>
      <c r="R15" s="237">
        <f>IF(ISBLANK($D15),"",VLOOKUP($D15,'Ausgabe Zeiten'!M:AV,35,0))</f>
        <v>6.9444444444444447E-4</v>
      </c>
      <c r="S15" s="241">
        <f>IF(ISBLANK($D15),"",VLOOKUP($D15,'Ausgabe Zeiten'!M:AV,36,0))</f>
        <v>2.2732291666666463E-2</v>
      </c>
      <c r="T15" s="239">
        <f t="shared" ref="T15:T17" si="7">IF(ISBLANK(D15),"",ROUND((23-20*(B15-1)/$L$4),2))</f>
        <v>8.4499999999999993</v>
      </c>
      <c r="V15" s="208" t="str">
        <f t="shared" si="0"/>
        <v>ok</v>
      </c>
      <c r="W15" s="198" t="str">
        <f t="shared" ref="W15:W17" si="8">IF(ISBLANK($D15),"",IF(S17&gt;S15,"ok","Sortierung A bis Z"))</f>
        <v>ok</v>
      </c>
      <c r="X15" s="208"/>
    </row>
    <row r="16" spans="2:27" s="197" customFormat="1" ht="27.75" customHeight="1">
      <c r="B16" s="188">
        <f t="shared" si="6"/>
        <v>10</v>
      </c>
      <c r="C16" s="190" t="str">
        <f>IF(ISBLANK(D16),"",IF(B16&lt;=$Z$2,"G",IF(AND(B16&gt;$Z$2,B16&lt;=$Z$3),"S",IF(AND(B16&gt;$Z$3,B16&lt;=$Z$4),"B","E"))))</f>
        <v>E</v>
      </c>
      <c r="D16" s="205">
        <v>67</v>
      </c>
      <c r="E16" s="181" t="str">
        <f>IF(ISBLANK($D16),"",VLOOKUP($D16,Teilnehmer!$B$4:$K$199,4,0))</f>
        <v>Walter Gerhard</v>
      </c>
      <c r="F16" s="286">
        <f>IF(ISBLANK($D16),"",VLOOKUP($D16,Teilnehmer!$B$4:$K$199,5,0))</f>
        <v>20268</v>
      </c>
      <c r="G16" s="287" t="str">
        <f>IF(ISBLANK($D16),"",VLOOKUP($D16,Teilnehmer!$B$4:$K$199,6,0))</f>
        <v>AC Gunzenhausen</v>
      </c>
      <c r="H16" s="181" t="str">
        <f>IF(ISBLANK($D16),"",VLOOKUP($D16,Teilnehmer!$B$4:$K$199,7,0))</f>
        <v>Schwarz Georg</v>
      </c>
      <c r="I16" s="286">
        <f>IF(ISBLANK($D16),"",VLOOKUP($D16,Teilnehmer!$B$4:$K$199,8,0))</f>
        <v>20042</v>
      </c>
      <c r="J16" s="287" t="str">
        <f>IF(ISBLANK($D16),"",VLOOKUP($D16,Teilnehmer!$B$4:$K$199,9,0))</f>
        <v>AC Gunzenhausen</v>
      </c>
      <c r="K16" s="206" t="str">
        <f>IF(ISBLANK($D16),"",VLOOKUP($D16,Teilnehmer!$B$4:$K$199,10,0))</f>
        <v>BMW 318IS</v>
      </c>
      <c r="L16" s="207">
        <f>IF(ISBLANK($D16),"",VLOOKUP($D16,'Ausgabe Zeiten'!M:AV,4,0))</f>
        <v>4.8299768518518249E-3</v>
      </c>
      <c r="M16" s="207">
        <f>IF(ISBLANK($D16),"",VLOOKUP($D16,'Ausgabe Zeiten'!M:AV,9,0))</f>
        <v>1.0416666666666666E-2</v>
      </c>
      <c r="N16" s="207" t="str">
        <f>IF(ISBLANK($D16),"",VLOOKUP($D16,'Ausgabe Zeiten'!M:AV,14,0))</f>
        <v>ADW</v>
      </c>
      <c r="O16" s="207" t="str">
        <f>IF(ISBLANK($D16),"",VLOOKUP($D16,'Ausgabe Zeiten'!M:AV,19,0))</f>
        <v>ADW</v>
      </c>
      <c r="P16" s="207" t="str">
        <f>IF(ISBLANK($D16),"",VLOOKUP($D16,'Ausgabe Zeiten'!M:AV,24,0))</f>
        <v>ADW</v>
      </c>
      <c r="Q16" s="207">
        <f>IF(ISBLANK($D16),"",VLOOKUP($D16,'Ausgabe Zeiten'!M:AV,29,0))</f>
        <v>0</v>
      </c>
      <c r="R16" s="237">
        <f>IF(ISBLANK($D16),"",VLOOKUP($D16,'Ausgabe Zeiten'!M:AV,35,0))</f>
        <v>0</v>
      </c>
      <c r="S16" s="241" t="str">
        <f>IF(ISBLANK($D16),"",VLOOKUP($D16,'Ausgabe Zeiten'!M:AV,36,0))</f>
        <v>ADW</v>
      </c>
      <c r="T16" s="239">
        <v>0</v>
      </c>
      <c r="V16" s="208" t="e">
        <f t="shared" si="0"/>
        <v>#VALUE!</v>
      </c>
      <c r="W16" s="198" t="str">
        <f t="shared" si="8"/>
        <v>Sortierung A bis Z</v>
      </c>
      <c r="X16" s="208"/>
    </row>
    <row r="17" spans="2:24" s="197" customFormat="1" ht="27.75" customHeight="1">
      <c r="B17" s="188">
        <f t="shared" si="5"/>
        <v>11</v>
      </c>
      <c r="C17" s="190" t="str">
        <f>IF(ISBLANK(D17),"",IF(B17&lt;=$Z$2,"G",IF(AND(B17&gt;$Z$2,B17&lt;=$Z$3),"S",IF(AND(B17&gt;$Z$3,B17&lt;=$Z$4),"B","E"))))</f>
        <v>E</v>
      </c>
      <c r="D17" s="205">
        <v>69</v>
      </c>
      <c r="E17" s="181" t="str">
        <f>IF(ISBLANK($D17),"",VLOOKUP($D17,Teilnehmer!$B$4:$K$199,4,0))</f>
        <v>Heider Daniel</v>
      </c>
      <c r="F17" s="286" t="str">
        <f>IF(ISBLANK($D17),"",VLOOKUP($D17,Teilnehmer!$B$4:$K$199,5,0))</f>
        <v>-</v>
      </c>
      <c r="G17" s="287" t="str">
        <f>IF(ISBLANK($D17),"",VLOOKUP($D17,Teilnehmer!$B$4:$K$199,6,0))</f>
        <v>AC Gunzenhausen</v>
      </c>
      <c r="H17" s="181" t="str">
        <f>IF(ISBLANK($D17),"",VLOOKUP($D17,Teilnehmer!$B$4:$K$199,7,0))</f>
        <v>Heider Michael</v>
      </c>
      <c r="I17" s="286" t="str">
        <f>IF(ISBLANK($D17),"",VLOOKUP($D17,Teilnehmer!$B$4:$K$199,8,0))</f>
        <v>-</v>
      </c>
      <c r="J17" s="287" t="str">
        <f>IF(ISBLANK($D17),"",VLOOKUP($D17,Teilnehmer!$B$4:$K$199,9,0))</f>
        <v>AC Gunzenhausen</v>
      </c>
      <c r="K17" s="206" t="str">
        <f>IF(ISBLANK($D17),"",VLOOKUP($D17,Teilnehmer!$B$4:$K$199,10,0))</f>
        <v>VW Golf 2</v>
      </c>
      <c r="L17" s="207">
        <f>IF(ISBLANK($D17),"",VLOOKUP($D17,'Ausgabe Zeiten'!M:AV,4,0))</f>
        <v>4.2003472222222893E-3</v>
      </c>
      <c r="M17" s="207">
        <f>IF(ISBLANK($D17),"",VLOOKUP($D17,'Ausgabe Zeiten'!M:AV,9,0))</f>
        <v>4.6428240740741256E-3</v>
      </c>
      <c r="N17" s="207">
        <f>IF(ISBLANK($D17),"",VLOOKUP($D17,'Ausgabe Zeiten'!M:AV,14,0))</f>
        <v>4.0810185185184977E-3</v>
      </c>
      <c r="O17" s="207">
        <f>IF(ISBLANK($D17),"",VLOOKUP($D17,'Ausgabe Zeiten'!M:AV,19,0))</f>
        <v>4.4922453703704068E-3</v>
      </c>
      <c r="P17" s="207" t="str">
        <f>IF(ISBLANK($D17),"",VLOOKUP($D17,'Ausgabe Zeiten'!M:AV,24,0))</f>
        <v>ADW</v>
      </c>
      <c r="Q17" s="207">
        <f>IF(ISBLANK($D17),"",VLOOKUP($D17,'Ausgabe Zeiten'!M:AV,29,0))</f>
        <v>0</v>
      </c>
      <c r="R17" s="237">
        <f>IF(ISBLANK($D17),"",VLOOKUP($D17,'Ausgabe Zeiten'!M:AV,35,0))</f>
        <v>0</v>
      </c>
      <c r="S17" s="241" t="str">
        <f>IF(ISBLANK($D17),"",VLOOKUP($D17,'Ausgabe Zeiten'!M:AV,36,0))</f>
        <v>ADW</v>
      </c>
      <c r="T17" s="239">
        <v>0</v>
      </c>
      <c r="V17" s="208" t="e">
        <f t="shared" si="0"/>
        <v>#VALUE!</v>
      </c>
      <c r="W17" s="198" t="str">
        <f t="shared" si="8"/>
        <v>Sortierung A bis Z</v>
      </c>
      <c r="X17" s="208"/>
    </row>
    <row r="18" spans="2:24" s="197" customFormat="1">
      <c r="B18" s="209"/>
      <c r="C18" s="210"/>
      <c r="W18" s="211"/>
    </row>
    <row r="19" spans="2:24" s="197" customFormat="1">
      <c r="B19" s="209"/>
      <c r="C19" s="210"/>
      <c r="W19" s="211"/>
    </row>
    <row r="20" spans="2:24" s="197" customFormat="1">
      <c r="B20" s="209"/>
      <c r="C20" s="210"/>
      <c r="W20" s="211"/>
    </row>
    <row r="21" spans="2:24" s="197" customFormat="1">
      <c r="B21" s="209"/>
      <c r="C21" s="210"/>
      <c r="W21" s="211"/>
    </row>
    <row r="22" spans="2:24" s="197" customFormat="1">
      <c r="B22" s="209"/>
      <c r="C22" s="210"/>
      <c r="W22" s="211"/>
    </row>
    <row r="23" spans="2:24" s="197" customFormat="1">
      <c r="B23" s="209"/>
      <c r="C23" s="210"/>
      <c r="W23" s="211"/>
    </row>
    <row r="24" spans="2:24" s="197" customFormat="1">
      <c r="B24" s="209"/>
      <c r="C24" s="210"/>
      <c r="W24" s="211"/>
    </row>
    <row r="25" spans="2:24" s="197" customFormat="1">
      <c r="B25" s="209"/>
      <c r="C25" s="210"/>
      <c r="W25" s="211"/>
    </row>
    <row r="26" spans="2:24" s="197" customFormat="1">
      <c r="B26" s="209"/>
      <c r="C26" s="210"/>
      <c r="W26" s="211"/>
    </row>
    <row r="27" spans="2:24" s="13" customFormat="1">
      <c r="B27" s="12"/>
      <c r="C27" s="14"/>
      <c r="W27" s="149"/>
    </row>
    <row r="28" spans="2:24" s="13" customFormat="1">
      <c r="B28" s="12"/>
      <c r="C28" s="14"/>
      <c r="W28" s="149"/>
    </row>
    <row r="29" spans="2:24" s="13" customFormat="1">
      <c r="B29" s="12"/>
      <c r="C29" s="14"/>
      <c r="W29" s="149"/>
    </row>
    <row r="30" spans="2:24" s="13" customFormat="1">
      <c r="B30" s="12"/>
      <c r="C30" s="14"/>
      <c r="W30" s="149"/>
    </row>
    <row r="31" spans="2:24" s="13" customFormat="1">
      <c r="B31" s="12"/>
      <c r="C31" s="14"/>
      <c r="W31" s="149"/>
    </row>
    <row r="32" spans="2:24" s="13" customFormat="1">
      <c r="B32" s="12"/>
      <c r="C32" s="14"/>
      <c r="W32" s="149"/>
    </row>
    <row r="33" spans="2:23" s="13" customFormat="1">
      <c r="B33" s="12"/>
      <c r="C33" s="14"/>
      <c r="W33" s="149"/>
    </row>
    <row r="34" spans="2:23" s="13" customFormat="1">
      <c r="B34" s="12"/>
      <c r="C34" s="14"/>
      <c r="W34" s="149"/>
    </row>
    <row r="35" spans="2:23" s="13" customFormat="1">
      <c r="B35" s="12"/>
      <c r="C35" s="14"/>
      <c r="W35" s="149"/>
    </row>
    <row r="36" spans="2:23" s="13" customFormat="1">
      <c r="B36" s="12"/>
      <c r="C36" s="14"/>
      <c r="W36" s="149"/>
    </row>
    <row r="37" spans="2:23" s="13" customFormat="1">
      <c r="B37" s="12"/>
      <c r="C37" s="14"/>
      <c r="W37" s="149"/>
    </row>
    <row r="38" spans="2:23" s="13" customFormat="1">
      <c r="B38" s="12"/>
      <c r="C38" s="14"/>
      <c r="W38" s="149"/>
    </row>
    <row r="39" spans="2:23" s="13" customFormat="1">
      <c r="B39" s="12"/>
      <c r="C39" s="14"/>
      <c r="W39" s="149"/>
    </row>
    <row r="40" spans="2:23" s="13" customFormat="1">
      <c r="B40" s="12"/>
      <c r="C40" s="14"/>
      <c r="W40" s="149"/>
    </row>
  </sheetData>
  <autoFilter ref="C6:S6" xr:uid="{7B828EDB-901C-404C-98B5-E64A905CC40B}">
    <sortState xmlns:xlrd2="http://schemas.microsoft.com/office/spreadsheetml/2017/richdata2" ref="C7:S17">
      <sortCondition ref="S6"/>
    </sortState>
  </autoFilter>
  <mergeCells count="2">
    <mergeCell ref="V3:V6"/>
    <mergeCell ref="W3:W6"/>
  </mergeCells>
  <conditionalFormatting sqref="D7:D17">
    <cfRule type="duplicateValues" dxfId="68" priority="655"/>
  </conditionalFormatting>
  <conditionalFormatting sqref="L5">
    <cfRule type="cellIs" dxfId="67" priority="2" operator="lessThan">
      <formula>0</formula>
    </cfRule>
    <cfRule type="cellIs" dxfId="66" priority="3" operator="greaterThan">
      <formula>0</formula>
    </cfRule>
  </conditionalFormatting>
  <conditionalFormatting sqref="V1:V3 V7:V1048576">
    <cfRule type="cellIs" dxfId="65" priority="5" operator="equal">
      <formula>"X"</formula>
    </cfRule>
  </conditionalFormatting>
  <conditionalFormatting sqref="W1:W3 W7:W1048576">
    <cfRule type="cellIs" dxfId="64" priority="4" operator="equal">
      <formula>"Sortierung A bis Z"</formula>
    </cfRule>
  </conditionalFormatting>
  <pageMargins left="0.70866141732283472" right="0.70866141732283472" top="0.78740157480314965" bottom="0.78740157480314965" header="0.31496062992125984" footer="0.31496062992125984"/>
  <pageSetup paperSize="9" scale="6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30E83-E089-4095-844B-E923EED08190}">
  <sheetPr>
    <tabColor theme="7"/>
    <pageSetUpPr fitToPage="1"/>
  </sheetPr>
  <dimension ref="B1:AA33"/>
  <sheetViews>
    <sheetView showGridLines="0" zoomScaleNormal="100" zoomScaleSheetLayoutView="130" workbookViewId="0">
      <pane xSplit="5" ySplit="6" topLeftCell="F7" activePane="bottomRight" state="frozen"/>
      <selection pane="bottomRight" activeCell="Y17" sqref="Y17"/>
      <selection pane="bottomLeft" activeCell="J24" sqref="J24"/>
      <selection pane="topRight" activeCell="J24" sqref="J24"/>
    </sheetView>
  </sheetViews>
  <sheetFormatPr defaultColWidth="11.42578125" defaultRowHeight="14.25"/>
  <cols>
    <col min="1" max="1" width="2.7109375" style="5" customWidth="1"/>
    <col min="2" max="2" width="3.7109375" style="3" customWidth="1"/>
    <col min="3" max="3" width="3.28515625" style="6" customWidth="1"/>
    <col min="4" max="4" width="4.28515625" style="5" customWidth="1"/>
    <col min="5" max="5" width="16.42578125" style="13" bestFit="1" customWidth="1"/>
    <col min="6" max="6" width="8.42578125" style="5" customWidth="1"/>
    <col min="7" max="7" width="11.7109375" style="5" customWidth="1"/>
    <col min="8" max="8" width="15.7109375" style="13" customWidth="1"/>
    <col min="9" max="9" width="8.7109375" style="5" customWidth="1"/>
    <col min="10" max="10" width="11.7109375" style="5" customWidth="1"/>
    <col min="11" max="11" width="9.7109375" style="5" customWidth="1"/>
    <col min="12" max="12" width="11.85546875" style="5" bestFit="1" customWidth="1"/>
    <col min="13" max="13" width="13.42578125" style="5" bestFit="1" customWidth="1"/>
    <col min="14" max="15" width="11.85546875" style="5" bestFit="1" customWidth="1"/>
    <col min="16" max="16" width="11.85546875" style="5" customWidth="1"/>
    <col min="17" max="17" width="11.85546875" style="5" hidden="1" customWidth="1"/>
    <col min="18" max="18" width="11.85546875" style="5" bestFit="1" customWidth="1"/>
    <col min="19" max="19" width="13.5703125" style="5" bestFit="1" customWidth="1"/>
    <col min="20" max="20" width="11.42578125" style="5"/>
    <col min="21" max="21" width="2.42578125" style="5" bestFit="1" customWidth="1"/>
    <col min="22" max="22" width="3" style="5" bestFit="1" customWidth="1"/>
    <col min="23" max="23" width="13.5703125" style="148" bestFit="1" customWidth="1"/>
    <col min="24" max="24" width="3" style="5" bestFit="1" customWidth="1"/>
    <col min="25" max="25" width="9.28515625" style="5" bestFit="1" customWidth="1"/>
    <col min="26" max="26" width="9.28515625" style="5" customWidth="1"/>
    <col min="27" max="16384" width="11.42578125" style="5"/>
  </cols>
  <sheetData>
    <row r="1" spans="2:27" s="7" customFormat="1" ht="20.25">
      <c r="B1" s="18" t="str">
        <f>Teilnehmer!B1</f>
        <v>20. Fürst von Wrede Rallye 2024</v>
      </c>
      <c r="C1" s="18"/>
      <c r="D1" s="18"/>
      <c r="E1" s="18"/>
      <c r="F1" s="18"/>
      <c r="G1" s="18"/>
      <c r="H1" s="18"/>
      <c r="I1" s="18"/>
      <c r="J1" s="18"/>
      <c r="K1" s="18"/>
      <c r="L1" s="18"/>
      <c r="M1" s="18"/>
      <c r="N1" s="18"/>
      <c r="O1" s="18"/>
      <c r="P1" s="18"/>
      <c r="Q1" s="18"/>
      <c r="R1" s="18"/>
      <c r="S1" s="18"/>
      <c r="W1" s="147"/>
      <c r="Y1" s="62"/>
      <c r="Z1" s="61" t="s">
        <v>312</v>
      </c>
      <c r="AA1" s="101" t="s">
        <v>58</v>
      </c>
    </row>
    <row r="2" spans="2:27" s="7" customFormat="1" ht="14.1" customHeight="1">
      <c r="B2" s="37"/>
      <c r="C2" s="37"/>
      <c r="D2" s="37"/>
      <c r="E2" s="37"/>
      <c r="F2" s="37"/>
      <c r="G2" s="37"/>
      <c r="H2" s="37"/>
      <c r="I2" s="37"/>
      <c r="J2" s="37"/>
      <c r="K2" s="37"/>
      <c r="L2" s="37"/>
      <c r="M2" s="37"/>
      <c r="N2" s="37"/>
      <c r="O2" s="37"/>
      <c r="P2" s="37"/>
      <c r="Q2" s="37"/>
      <c r="R2" s="37"/>
      <c r="S2" s="37"/>
      <c r="W2" s="147"/>
      <c r="X2" s="51" t="s">
        <v>18</v>
      </c>
      <c r="Y2" s="52">
        <f>Teilnehmer!$U$5</f>
        <v>0.2</v>
      </c>
      <c r="Z2" s="53">
        <f>ROUND($L$4*Y2,0.5)</f>
        <v>1</v>
      </c>
    </row>
    <row r="3" spans="2:27" ht="15" customHeight="1">
      <c r="V3" s="335" t="s">
        <v>313</v>
      </c>
      <c r="W3" s="343" t="s">
        <v>314</v>
      </c>
      <c r="X3" s="54" t="s">
        <v>26</v>
      </c>
      <c r="Y3" s="49">
        <f>Teilnehmer!$U$6</f>
        <v>0.25</v>
      </c>
      <c r="Z3" s="55">
        <f>Z2+ROUND($L$4*Y3,0.5)</f>
        <v>3</v>
      </c>
    </row>
    <row r="4" spans="2:27" ht="15.75" customHeight="1">
      <c r="E4" s="8" t="s">
        <v>315</v>
      </c>
      <c r="G4" s="8" t="s">
        <v>316</v>
      </c>
      <c r="H4" s="9" t="s">
        <v>3</v>
      </c>
      <c r="I4" s="10">
        <v>5</v>
      </c>
      <c r="L4" s="11">
        <f>COUNTA(D7:D12)</f>
        <v>6</v>
      </c>
      <c r="M4" s="8" t="s">
        <v>317</v>
      </c>
      <c r="V4" s="335"/>
      <c r="W4" s="343"/>
      <c r="X4" s="56" t="s">
        <v>33</v>
      </c>
      <c r="Y4" s="50">
        <f>Teilnehmer!$U$7</f>
        <v>0.3</v>
      </c>
      <c r="Z4" s="57">
        <f>Z3+ROUND($L$4*Y4,0.5)</f>
        <v>5</v>
      </c>
    </row>
    <row r="5" spans="2:27" ht="15" customHeight="1" thickBot="1">
      <c r="L5" s="15">
        <f>L4-Teilnehmer!P8</f>
        <v>0</v>
      </c>
      <c r="M5" s="15" t="s">
        <v>283</v>
      </c>
      <c r="V5" s="335"/>
      <c r="W5" s="343"/>
      <c r="X5" s="58" t="s">
        <v>39</v>
      </c>
      <c r="Y5" s="59" t="s">
        <v>40</v>
      </c>
      <c r="Z5" s="60"/>
    </row>
    <row r="6" spans="2:27" s="183" customFormat="1" ht="29.25">
      <c r="B6" s="19" t="s">
        <v>318</v>
      </c>
      <c r="C6" s="20" t="s">
        <v>319</v>
      </c>
      <c r="D6" s="21" t="s">
        <v>299</v>
      </c>
      <c r="E6" s="20" t="s">
        <v>4</v>
      </c>
      <c r="F6" s="22" t="s">
        <v>5</v>
      </c>
      <c r="G6" s="20" t="s">
        <v>6</v>
      </c>
      <c r="H6" s="20" t="s">
        <v>7</v>
      </c>
      <c r="I6" s="22" t="s">
        <v>5</v>
      </c>
      <c r="J6" s="20" t="s">
        <v>6</v>
      </c>
      <c r="K6" s="20" t="s">
        <v>8</v>
      </c>
      <c r="L6" s="22" t="s">
        <v>320</v>
      </c>
      <c r="M6" s="22" t="s">
        <v>321</v>
      </c>
      <c r="N6" s="22" t="s">
        <v>322</v>
      </c>
      <c r="O6" s="22" t="s">
        <v>323</v>
      </c>
      <c r="P6" s="22" t="s">
        <v>324</v>
      </c>
      <c r="Q6" s="22" t="s">
        <v>325</v>
      </c>
      <c r="R6" s="236" t="s">
        <v>297</v>
      </c>
      <c r="S6" s="240" t="s">
        <v>326</v>
      </c>
      <c r="T6" s="238" t="s">
        <v>327</v>
      </c>
      <c r="V6" s="335"/>
      <c r="W6" s="343"/>
      <c r="X6" s="204"/>
    </row>
    <row r="7" spans="2:27" s="197" customFormat="1" ht="27.75" customHeight="1">
      <c r="B7" s="188">
        <v>1</v>
      </c>
      <c r="C7" s="190" t="str">
        <f>IF(ISBLANK(D7),"",IF(B7&lt;=$Z$2,"G",IF(AND(B7&gt;$Z$2,B7&lt;=$Z$3),"S",IF(AND(B7&gt;$Z$3,B7&lt;=$Z$4),"B","E"))))</f>
        <v>G</v>
      </c>
      <c r="D7" s="205">
        <v>54</v>
      </c>
      <c r="E7" s="181" t="str">
        <f>IF(ISBLANK($D7),"",VLOOKUP($D7,Teilnehmer!$B$4:$K$199,4,0))</f>
        <v>Scheidhammer Alois</v>
      </c>
      <c r="F7" s="286">
        <f>IF(ISBLANK($D7),"",VLOOKUP($D7,Teilnehmer!$B$4:$K$199,5,0))</f>
        <v>15610</v>
      </c>
      <c r="G7" s="287" t="str">
        <f>IF(ISBLANK($D7),"",VLOOKUP($D7,Teilnehmer!$B$4:$K$199,6,0))</f>
        <v>MSC Emmersdorf</v>
      </c>
      <c r="H7" s="181" t="str">
        <f>IF(ISBLANK($D7),"",VLOOKUP($D7,Teilnehmer!$B$4:$K$199,7,0))</f>
        <v>Regner August</v>
      </c>
      <c r="I7" s="286">
        <f>IF(ISBLANK($D7),"",VLOOKUP($D7,Teilnehmer!$B$4:$K$199,8,0))</f>
        <v>15609</v>
      </c>
      <c r="J7" s="287" t="str">
        <f>IF(ISBLANK($D7),"",VLOOKUP($D7,Teilnehmer!$B$4:$K$199,9,0))</f>
        <v>MSC Emmersdorf</v>
      </c>
      <c r="K7" s="206" t="str">
        <f>IF(ISBLANK($D7),"",VLOOKUP($D7,Teilnehmer!$B$4:$K$199,10,0))</f>
        <v>Nissan Z350</v>
      </c>
      <c r="L7" s="207">
        <f>IF(ISBLANK($D7),"",VLOOKUP($D7,'Ausgabe Zeiten'!M:AV,4,0))</f>
        <v>3.803935185185181E-3</v>
      </c>
      <c r="M7" s="207">
        <f>IF(ISBLANK($D7),"",VLOOKUP($D7,'Ausgabe Zeiten'!M:AV,9,0))</f>
        <v>4.2633101851852206E-3</v>
      </c>
      <c r="N7" s="207">
        <f>IF(ISBLANK($D7),"",VLOOKUP($D7,'Ausgabe Zeiten'!M:AV,14,0))</f>
        <v>3.7965277777778361E-3</v>
      </c>
      <c r="O7" s="207">
        <f>IF(ISBLANK($D7),"",VLOOKUP($D7,'Ausgabe Zeiten'!M:AV,19,0))</f>
        <v>4.2297453703703525E-3</v>
      </c>
      <c r="P7" s="207">
        <f>IF(ISBLANK($D7),"",VLOOKUP($D7,'Ausgabe Zeiten'!M:AV,24,0))</f>
        <v>3.7349537037036917E-3</v>
      </c>
      <c r="Q7" s="207">
        <f>IF(ISBLANK($D7),"",VLOOKUP($D7,'Ausgabe Zeiten'!M:AV,29,0))</f>
        <v>0</v>
      </c>
      <c r="R7" s="237">
        <f>IF(ISBLANK($D7),"",VLOOKUP($D7,'Ausgabe Zeiten'!M:AV,35,0))</f>
        <v>0</v>
      </c>
      <c r="S7" s="241">
        <f>IF(ISBLANK($D7),"",VLOOKUP($D7,'Ausgabe Zeiten'!M:AV,36,0))</f>
        <v>1.9828472222222282E-2</v>
      </c>
      <c r="T7" s="239">
        <f>IF(ISBLANK(D7),"",ROUND((23-20*(B7-1)/$L$4),2))</f>
        <v>23</v>
      </c>
      <c r="V7" s="208" t="str">
        <f>IF(ISBLANK($D7),"",IF(S7-SUM(L7:R7)=0,"ok","X"))</f>
        <v>ok</v>
      </c>
      <c r="W7" s="198" t="str">
        <f t="shared" ref="W7:W8" si="0">IF(ISBLANK($D7),"",IF(S8&gt;S7,"ok","Sortierung A bis Z"))</f>
        <v>ok</v>
      </c>
      <c r="X7" s="208"/>
    </row>
    <row r="8" spans="2:27" s="197" customFormat="1" ht="27.75" customHeight="1">
      <c r="B8" s="188">
        <f>IF(ISBLANK(D8),"",B7+1)</f>
        <v>2</v>
      </c>
      <c r="C8" s="190" t="str">
        <f>IF(ISBLANK(D8),"",IF(B8&lt;=$Z$2,"G",IF(AND(B8&gt;$Z$2,B8&lt;=$Z$3),"S",IF(AND(B8&gt;$Z$3,B8&lt;=$Z$4),"B","E"))))</f>
        <v>S</v>
      </c>
      <c r="D8" s="205">
        <v>55</v>
      </c>
      <c r="E8" s="181" t="str">
        <f>IF(ISBLANK($D8),"",VLOOKUP($D8,Teilnehmer!$B$4:$K$199,4,0))</f>
        <v>Biendl Willibald</v>
      </c>
      <c r="F8" s="286">
        <f>IF(ISBLANK($D8),"",VLOOKUP($D8,Teilnehmer!$B$4:$K$199,5,0))</f>
        <v>14763</v>
      </c>
      <c r="G8" s="287" t="str">
        <f>IF(ISBLANK($D8),"",VLOOKUP($D8,Teilnehmer!$B$4:$K$199,6,0))</f>
        <v>MSC Mamming</v>
      </c>
      <c r="H8" s="181" t="str">
        <f>IF(ISBLANK($D8),"",VLOOKUP($D8,Teilnehmer!$B$4:$K$199,7,0))</f>
        <v>Schwaiger Viktoria</v>
      </c>
      <c r="I8" s="286">
        <f>IF(ISBLANK($D8),"",VLOOKUP($D8,Teilnehmer!$B$4:$K$199,8,0))</f>
        <v>16168</v>
      </c>
      <c r="J8" s="287" t="str">
        <f>IF(ISBLANK($D8),"",VLOOKUP($D8,Teilnehmer!$B$4:$K$199,9,0))</f>
        <v>SCC Grünthal</v>
      </c>
      <c r="K8" s="206" t="str">
        <f>IF(ISBLANK($D8),"",VLOOKUP($D8,Teilnehmer!$B$4:$K$199,10,0))</f>
        <v>BMW 323ti</v>
      </c>
      <c r="L8" s="207">
        <f>IF(ISBLANK($D8),"",VLOOKUP($D8,'Ausgabe Zeiten'!M:AV,4,0))</f>
        <v>3.8540509259258893E-3</v>
      </c>
      <c r="M8" s="207">
        <f>IF(ISBLANK($D8),"",VLOOKUP($D8,'Ausgabe Zeiten'!M:AV,9,0))</f>
        <v>4.4334490740739474E-3</v>
      </c>
      <c r="N8" s="207">
        <f>IF(ISBLANK($D8),"",VLOOKUP($D8,'Ausgabe Zeiten'!M:AV,14,0))</f>
        <v>3.7975694444444263E-3</v>
      </c>
      <c r="O8" s="207">
        <f>IF(ISBLANK($D8),"",VLOOKUP($D8,'Ausgabe Zeiten'!M:AV,19,0))</f>
        <v>4.2439814814815291E-3</v>
      </c>
      <c r="P8" s="207">
        <f>IF(ISBLANK($D8),"",VLOOKUP($D8,'Ausgabe Zeiten'!M:AV,24,0))</f>
        <v>3.7384259259258812E-3</v>
      </c>
      <c r="Q8" s="207">
        <f>IF(ISBLANK($D8),"",VLOOKUP($D8,'Ausgabe Zeiten'!M:AV,29,0))</f>
        <v>0</v>
      </c>
      <c r="R8" s="237">
        <f>IF(ISBLANK($D8),"",VLOOKUP($D8,'Ausgabe Zeiten'!M:AV,35,0))</f>
        <v>0</v>
      </c>
      <c r="S8" s="241">
        <f>IF(ISBLANK($D8),"",VLOOKUP($D8,'Ausgabe Zeiten'!M:AV,36,0))</f>
        <v>2.0067476851851673E-2</v>
      </c>
      <c r="T8" s="239">
        <f t="shared" ref="T8:T12" si="1">IF(ISBLANK(D8),"",ROUND((23-20*(B8-1)/$L$4),2))</f>
        <v>19.670000000000002</v>
      </c>
      <c r="V8" s="208" t="str">
        <f>IF(ISBLANK($D8),"",IF(S8-SUM(L8:R8)=0,"ok","X"))</f>
        <v>ok</v>
      </c>
      <c r="W8" s="198" t="str">
        <f t="shared" si="0"/>
        <v>ok</v>
      </c>
      <c r="X8" s="208"/>
    </row>
    <row r="9" spans="2:27" s="197" customFormat="1" ht="27.75" customHeight="1">
      <c r="B9" s="188">
        <f t="shared" ref="B9:B12" si="2">IF(ISBLANK(D9),"",B8+1)</f>
        <v>3</v>
      </c>
      <c r="C9" s="190" t="str">
        <f>IF(ISBLANK(D9),"",IF(B9&lt;=$Z$2,"G",IF(AND(B9&gt;$Z$2,B9&lt;=$Z$3),"S",IF(AND(B9&gt;$Z$3,B9&lt;=$Z$4),"B","E"))))</f>
        <v>S</v>
      </c>
      <c r="D9" s="205">
        <v>59</v>
      </c>
      <c r="E9" s="181" t="str">
        <f>IF(ISBLANK($D9),"",VLOOKUP($D9,Teilnehmer!$B$4:$K$199,4,0))</f>
        <v>Stör Andreas</v>
      </c>
      <c r="F9" s="286">
        <f>IF(ISBLANK($D9),"",VLOOKUP($D9,Teilnehmer!$B$4:$K$199,5,0))</f>
        <v>16415</v>
      </c>
      <c r="G9" s="287" t="str">
        <f>IF(ISBLANK($D9),"",VLOOKUP($D9,Teilnehmer!$B$4:$K$199,6,0))</f>
        <v>AC Gunzenhausen</v>
      </c>
      <c r="H9" s="181" t="str">
        <f>IF(ISBLANK($D9),"",VLOOKUP($D9,Teilnehmer!$B$4:$K$199,7,0))</f>
        <v>Haderlein Jan</v>
      </c>
      <c r="I9" s="286">
        <f>IF(ISBLANK($D9),"",VLOOKUP($D9,Teilnehmer!$B$4:$K$199,8,0))</f>
        <v>0</v>
      </c>
      <c r="J9" s="287" t="str">
        <f>IF(ISBLANK($D9),"",VLOOKUP($D9,Teilnehmer!$B$4:$K$199,9,0))</f>
        <v>AC Gunzenhausen</v>
      </c>
      <c r="K9" s="206" t="str">
        <f>IF(ISBLANK($D9),"",VLOOKUP($D9,Teilnehmer!$B$4:$K$199,10,0))</f>
        <v>BMW 323ti</v>
      </c>
      <c r="L9" s="207">
        <f>IF(ISBLANK($D9),"",VLOOKUP($D9,'Ausgabe Zeiten'!M:AV,4,0))</f>
        <v>3.9620370370370694E-3</v>
      </c>
      <c r="M9" s="207">
        <f>IF(ISBLANK($D9),"",VLOOKUP($D9,'Ausgabe Zeiten'!M:AV,9,0))</f>
        <v>4.6475694444444438E-3</v>
      </c>
      <c r="N9" s="207">
        <f>IF(ISBLANK($D9),"",VLOOKUP($D9,'Ausgabe Zeiten'!M:AV,14,0))</f>
        <v>4.0274305555555445E-3</v>
      </c>
      <c r="O9" s="207">
        <f>IF(ISBLANK($D9),"",VLOOKUP($D9,'Ausgabe Zeiten'!M:AV,19,0))</f>
        <v>4.546759259259292E-3</v>
      </c>
      <c r="P9" s="207">
        <f>IF(ISBLANK($D9),"",VLOOKUP($D9,'Ausgabe Zeiten'!M:AV,24,0))</f>
        <v>3.9876157407406909E-3</v>
      </c>
      <c r="Q9" s="207">
        <f>IF(ISBLANK($D9),"",VLOOKUP($D9,'Ausgabe Zeiten'!M:AV,29,0))</f>
        <v>0</v>
      </c>
      <c r="R9" s="237">
        <f>IF(ISBLANK($D9),"",VLOOKUP($D9,'Ausgabe Zeiten'!M:AV,35,0))</f>
        <v>0</v>
      </c>
      <c r="S9" s="241">
        <f>IF(ISBLANK($D9),"",VLOOKUP($D9,'Ausgabe Zeiten'!M:AV,36,0))</f>
        <v>2.1171412037037041E-2</v>
      </c>
      <c r="T9" s="239">
        <f t="shared" si="1"/>
        <v>16.329999999999998</v>
      </c>
      <c r="V9" s="208" t="str">
        <f>IF(ISBLANK($D9),"",IF(S9-SUM(L9:R9)=0,"ok","X"))</f>
        <v>ok</v>
      </c>
      <c r="W9" s="198" t="str">
        <f>IF(ISBLANK($D9),"",IF(S12&gt;S9,"ok","Sortierung A bis Z"))</f>
        <v>ok</v>
      </c>
      <c r="X9" s="208"/>
    </row>
    <row r="10" spans="2:27" s="197" customFormat="1" ht="27.75" customHeight="1">
      <c r="B10" s="188">
        <f t="shared" si="2"/>
        <v>4</v>
      </c>
      <c r="C10" s="190" t="str">
        <f>IF(ISBLANK(D10),"",IF(B10&lt;=$Z$2,"G",IF(AND(B10&gt;$Z$2,B10&lt;=$Z$3),"S",IF(AND(B10&gt;$Z$3,B10&lt;=$Z$4),"B","E"))))</f>
        <v>B</v>
      </c>
      <c r="D10" s="205">
        <v>56</v>
      </c>
      <c r="E10" s="181" t="str">
        <f>IF(ISBLANK($D10),"",VLOOKUP($D10,Teilnehmer!$B$4:$K$199,4,0))</f>
        <v>Knese Fabian</v>
      </c>
      <c r="F10" s="286">
        <f>IF(ISBLANK($D10),"",VLOOKUP($D10,Teilnehmer!$B$4:$K$199,5,0))</f>
        <v>15997</v>
      </c>
      <c r="G10" s="287" t="str">
        <f>IF(ISBLANK($D10),"",VLOOKUP($D10,Teilnehmer!$B$4:$K$199,6,0))</f>
        <v>UMC Ulm / MC Einsingen / MSC Mamming</v>
      </c>
      <c r="H10" s="181" t="str">
        <f>IF(ISBLANK($D10),"",VLOOKUP($D10,Teilnehmer!$B$4:$K$199,7,0))</f>
        <v>Sancakli Dean</v>
      </c>
      <c r="I10" s="286">
        <f>IF(ISBLANK($D10),"",VLOOKUP($D10,Teilnehmer!$B$4:$K$199,8,0))</f>
        <v>16625</v>
      </c>
      <c r="J10" s="287" t="str">
        <f>IF(ISBLANK($D10),"",VLOOKUP($D10,Teilnehmer!$B$4:$K$199,9,0))</f>
        <v>-</v>
      </c>
      <c r="K10" s="206" t="str">
        <f>IF(ISBLANK($D10),"",VLOOKUP($D10,Teilnehmer!$B$4:$K$199,10,0))</f>
        <v>BMW E36</v>
      </c>
      <c r="L10" s="207">
        <f>IF(ISBLANK($D10),"",VLOOKUP($D10,'Ausgabe Zeiten'!M:AV,4,0))</f>
        <v>3.9542824074074168E-3</v>
      </c>
      <c r="M10" s="207">
        <f>IF(ISBLANK($D10),"",VLOOKUP($D10,'Ausgabe Zeiten'!M:AV,9,0))</f>
        <v>5.0344907407408046E-3</v>
      </c>
      <c r="N10" s="207">
        <f>IF(ISBLANK($D10),"",VLOOKUP($D10,'Ausgabe Zeiten'!M:AV,14,0))</f>
        <v>3.9190972222220566E-3</v>
      </c>
      <c r="O10" s="207">
        <f>IF(ISBLANK($D10),"",VLOOKUP($D10,'Ausgabe Zeiten'!M:AV,19,0))</f>
        <v>4.6348379629630454E-3</v>
      </c>
      <c r="P10" s="207">
        <f>IF(ISBLANK($D10),"",VLOOKUP($D10,'Ausgabe Zeiten'!M:AV,24,0))</f>
        <v>3.9114583333332842E-3</v>
      </c>
      <c r="Q10" s="207">
        <f>IF(ISBLANK($D10),"",VLOOKUP($D10,'Ausgabe Zeiten'!M:AV,29,0))</f>
        <v>0</v>
      </c>
      <c r="R10" s="237">
        <f>IF(ISBLANK($D10),"",VLOOKUP($D10,'Ausgabe Zeiten'!M:AV,35,0))</f>
        <v>0</v>
      </c>
      <c r="S10" s="241">
        <f>IF(ISBLANK($D10),"",VLOOKUP($D10,'Ausgabe Zeiten'!M:AV,36,0))</f>
        <v>2.1454166666666608E-2</v>
      </c>
      <c r="T10" s="239">
        <f t="shared" ref="T10:T11" si="3">IF(ISBLANK(D10),"",ROUND((23-20*(B10-1)/$L$4),2))</f>
        <v>13</v>
      </c>
      <c r="V10" s="208" t="str">
        <f t="shared" ref="V10:V12" si="4">IF(ISBLANK($D10),"",IF(S10-SUM(L10:R10)=0,"ok","X"))</f>
        <v>ok</v>
      </c>
      <c r="W10" s="198" t="str">
        <f t="shared" ref="W10:W12" si="5">IF(ISBLANK($D10),"",IF(S13&gt;S10,"ok","Sortierung A bis Z"))</f>
        <v>Sortierung A bis Z</v>
      </c>
      <c r="X10" s="208"/>
    </row>
    <row r="11" spans="2:27" s="197" customFormat="1" ht="27.75" customHeight="1">
      <c r="B11" s="188">
        <f t="shared" si="2"/>
        <v>5</v>
      </c>
      <c r="C11" s="190" t="str">
        <f>IF(ISBLANK(D11),"",IF(B11&lt;=$Z$2,"G",IF(AND(B11&gt;$Z$2,B11&lt;=$Z$3),"S",IF(AND(B11&gt;$Z$3,B11&lt;=$Z$4),"B","E"))))</f>
        <v>B</v>
      </c>
      <c r="D11" s="205">
        <v>58</v>
      </c>
      <c r="E11" s="181" t="str">
        <f>IF(ISBLANK($D11),"",VLOOKUP($D11,Teilnehmer!$B$4:$K$199,4,0))</f>
        <v>Kühnlein Matthias</v>
      </c>
      <c r="F11" s="286">
        <f>IF(ISBLANK($D11),"",VLOOKUP($D11,Teilnehmer!$B$4:$K$199,5,0))</f>
        <v>16416</v>
      </c>
      <c r="G11" s="287" t="str">
        <f>IF(ISBLANK($D11),"",VLOOKUP($D11,Teilnehmer!$B$4:$K$199,6,0))</f>
        <v>AC Gunzenhausen</v>
      </c>
      <c r="H11" s="181" t="str">
        <f>IF(ISBLANK($D11),"",VLOOKUP($D11,Teilnehmer!$B$4:$K$199,7,0))</f>
        <v>Funk Christian</v>
      </c>
      <c r="I11" s="286">
        <f>IF(ISBLANK($D11),"",VLOOKUP($D11,Teilnehmer!$B$4:$K$199,8,0))</f>
        <v>13818</v>
      </c>
      <c r="J11" s="287" t="str">
        <f>IF(ISBLANK($D11),"",VLOOKUP($D11,Teilnehmer!$B$4:$K$199,9,0))</f>
        <v>AC Gunzenhausen</v>
      </c>
      <c r="K11" s="206" t="str">
        <f>IF(ISBLANK($D11),"",VLOOKUP($D11,Teilnehmer!$B$4:$K$199,10,0))</f>
        <v>Mercedes-Benz C230 Sportcoupe</v>
      </c>
      <c r="L11" s="207">
        <f>IF(ISBLANK($D11),"",VLOOKUP($D11,'Ausgabe Zeiten'!M:AV,4,0))</f>
        <v>4.4931712962963943E-3</v>
      </c>
      <c r="M11" s="207">
        <f>IF(ISBLANK($D11),"",VLOOKUP($D11,'Ausgabe Zeiten'!M:AV,9,0))</f>
        <v>4.8127314814815358E-3</v>
      </c>
      <c r="N11" s="207">
        <f>IF(ISBLANK($D11),"",VLOOKUP($D11,'Ausgabe Zeiten'!M:AV,14,0))</f>
        <v>4.3905092592592121E-3</v>
      </c>
      <c r="O11" s="207">
        <f>IF(ISBLANK($D11),"",VLOOKUP($D11,'Ausgabe Zeiten'!M:AV,19,0))</f>
        <v>4.7369212962963259E-3</v>
      </c>
      <c r="P11" s="207">
        <f>IF(ISBLANK($D11),"",VLOOKUP($D11,'Ausgabe Zeiten'!M:AV,24,0))</f>
        <v>4.2906249999999924E-3</v>
      </c>
      <c r="Q11" s="207">
        <f>IF(ISBLANK($D11),"",VLOOKUP($D11,'Ausgabe Zeiten'!M:AV,29,0))</f>
        <v>0</v>
      </c>
      <c r="R11" s="237">
        <f>IF(ISBLANK($D11),"",VLOOKUP($D11,'Ausgabe Zeiten'!M:AV,35,0))</f>
        <v>0</v>
      </c>
      <c r="S11" s="241">
        <f>IF(ISBLANK($D11),"",VLOOKUP($D11,'Ausgabe Zeiten'!M:AV,36,0))</f>
        <v>2.272395833333346E-2</v>
      </c>
      <c r="T11" s="239">
        <f t="shared" si="3"/>
        <v>9.67</v>
      </c>
      <c r="V11" s="208" t="str">
        <f t="shared" si="4"/>
        <v>ok</v>
      </c>
      <c r="W11" s="198" t="str">
        <f t="shared" si="5"/>
        <v>Sortierung A bis Z</v>
      </c>
      <c r="X11" s="208"/>
    </row>
    <row r="12" spans="2:27" s="197" customFormat="1" ht="27.75" customHeight="1" thickBot="1">
      <c r="B12" s="188">
        <f t="shared" si="2"/>
        <v>6</v>
      </c>
      <c r="C12" s="190" t="str">
        <f>IF(ISBLANK(D12),"",IF(B12&lt;=$Z$2,"G",IF(AND(B12&gt;$Z$2,B12&lt;=$Z$3),"S",IF(AND(B12&gt;$Z$3,B12&lt;=$Z$4),"B","E"))))</f>
        <v>E</v>
      </c>
      <c r="D12" s="205">
        <v>57</v>
      </c>
      <c r="E12" s="181" t="str">
        <f>IF(ISBLANK($D12),"",VLOOKUP($D12,Teilnehmer!$B$4:$K$199,4,0))</f>
        <v>Humburg Korbinian</v>
      </c>
      <c r="F12" s="286">
        <f>IF(ISBLANK($D12),"",VLOOKUP($D12,Teilnehmer!$B$4:$K$199,5,0))</f>
        <v>16308</v>
      </c>
      <c r="G12" s="287" t="str">
        <f>IF(ISBLANK($D12),"",VLOOKUP($D12,Teilnehmer!$B$4:$K$199,6,0))</f>
        <v>MSC Mamming</v>
      </c>
      <c r="H12" s="181" t="str">
        <f>IF(ISBLANK($D12),"",VLOOKUP($D12,Teilnehmer!$B$4:$K$199,7,0))</f>
        <v>Pöschl Manfred</v>
      </c>
      <c r="I12" s="286">
        <f>IF(ISBLANK($D12),"",VLOOKUP($D12,Teilnehmer!$B$4:$K$199,8,0))</f>
        <v>16309</v>
      </c>
      <c r="J12" s="287" t="str">
        <f>IF(ISBLANK($D12),"",VLOOKUP($D12,Teilnehmer!$B$4:$K$199,9,0))</f>
        <v>-</v>
      </c>
      <c r="K12" s="206" t="str">
        <f>IF(ISBLANK($D12),"",VLOOKUP($D12,Teilnehmer!$B$4:$K$199,10,0))</f>
        <v>BMW E36 328i</v>
      </c>
      <c r="L12" s="207">
        <f>IF(ISBLANK($D12),"",VLOOKUP($D12,'Ausgabe Zeiten'!M:AV,4,0))</f>
        <v>3.9053240740741235E-3</v>
      </c>
      <c r="M12" s="207">
        <f>IF(ISBLANK($D12),"",VLOOKUP($D12,'Ausgabe Zeiten'!M:AV,9,0))</f>
        <v>1.0416666666666666E-2</v>
      </c>
      <c r="N12" s="207" t="str">
        <f>IF(ISBLANK($D12),"",VLOOKUP($D12,'Ausgabe Zeiten'!M:AV,14,0))</f>
        <v>ADW</v>
      </c>
      <c r="O12" s="207" t="str">
        <f>IF(ISBLANK($D12),"",VLOOKUP($D12,'Ausgabe Zeiten'!M:AV,19,0))</f>
        <v>ADW</v>
      </c>
      <c r="P12" s="207" t="str">
        <f>IF(ISBLANK($D12),"",VLOOKUP($D12,'Ausgabe Zeiten'!M:AV,24,0))</f>
        <v>ADW</v>
      </c>
      <c r="Q12" s="207">
        <f>IF(ISBLANK($D12),"",VLOOKUP($D12,'Ausgabe Zeiten'!M:AV,29,0))</f>
        <v>0</v>
      </c>
      <c r="R12" s="237">
        <f>IF(ISBLANK($D12),"",VLOOKUP($D12,'Ausgabe Zeiten'!M:AV,35,0))</f>
        <v>0</v>
      </c>
      <c r="S12" s="242" t="str">
        <f>IF(ISBLANK($D12),"",VLOOKUP($D12,'Ausgabe Zeiten'!M:AV,36,0))</f>
        <v>ADW</v>
      </c>
      <c r="T12" s="239">
        <v>0</v>
      </c>
      <c r="V12" s="208" t="e">
        <f t="shared" si="4"/>
        <v>#VALUE!</v>
      </c>
      <c r="W12" s="198" t="str">
        <f t="shared" si="5"/>
        <v>Sortierung A bis Z</v>
      </c>
      <c r="X12" s="208"/>
    </row>
    <row r="13" spans="2:27" s="197" customFormat="1">
      <c r="B13" s="209"/>
      <c r="C13" s="210"/>
      <c r="W13" s="211"/>
    </row>
    <row r="14" spans="2:27" s="197" customFormat="1">
      <c r="B14" s="209"/>
      <c r="C14" s="210"/>
      <c r="W14" s="211"/>
    </row>
    <row r="15" spans="2:27" s="197" customFormat="1">
      <c r="B15" s="209"/>
      <c r="C15" s="210"/>
      <c r="W15" s="211"/>
    </row>
    <row r="16" spans="2:27" s="197" customFormat="1">
      <c r="B16" s="209"/>
      <c r="C16" s="210"/>
      <c r="W16" s="211"/>
    </row>
    <row r="17" spans="2:23" s="197" customFormat="1">
      <c r="B17" s="209"/>
      <c r="C17" s="210"/>
      <c r="W17" s="211"/>
    </row>
    <row r="18" spans="2:23" s="197" customFormat="1">
      <c r="B18" s="209"/>
      <c r="C18" s="210"/>
      <c r="W18" s="211"/>
    </row>
    <row r="19" spans="2:23" s="197" customFormat="1">
      <c r="B19" s="209"/>
      <c r="C19" s="210"/>
      <c r="W19" s="211"/>
    </row>
    <row r="20" spans="2:23" s="13" customFormat="1">
      <c r="B20" s="12"/>
      <c r="C20" s="14"/>
      <c r="W20" s="149"/>
    </row>
    <row r="21" spans="2:23" s="13" customFormat="1">
      <c r="B21" s="12"/>
      <c r="C21" s="14"/>
      <c r="W21" s="149"/>
    </row>
    <row r="22" spans="2:23" s="13" customFormat="1">
      <c r="B22" s="12"/>
      <c r="C22" s="14"/>
      <c r="W22" s="149"/>
    </row>
    <row r="23" spans="2:23" s="13" customFormat="1">
      <c r="B23" s="12"/>
      <c r="C23" s="14"/>
      <c r="W23" s="149"/>
    </row>
    <row r="24" spans="2:23" s="13" customFormat="1">
      <c r="B24" s="12"/>
      <c r="C24" s="14"/>
      <c r="W24" s="149"/>
    </row>
    <row r="25" spans="2:23" s="13" customFormat="1">
      <c r="B25" s="12"/>
      <c r="C25" s="14"/>
      <c r="W25" s="149"/>
    </row>
    <row r="26" spans="2:23" s="13" customFormat="1">
      <c r="B26" s="12"/>
      <c r="C26" s="14"/>
      <c r="W26" s="149"/>
    </row>
    <row r="27" spans="2:23" s="13" customFormat="1">
      <c r="B27" s="12"/>
      <c r="C27" s="14"/>
      <c r="W27" s="149"/>
    </row>
    <row r="28" spans="2:23" s="13" customFormat="1">
      <c r="B28" s="12"/>
      <c r="C28" s="14"/>
      <c r="W28" s="149"/>
    </row>
    <row r="29" spans="2:23" s="13" customFormat="1">
      <c r="B29" s="12"/>
      <c r="C29" s="14"/>
      <c r="W29" s="149"/>
    </row>
    <row r="30" spans="2:23" s="13" customFormat="1">
      <c r="B30" s="12"/>
      <c r="C30" s="14"/>
      <c r="W30" s="149"/>
    </row>
    <row r="31" spans="2:23" s="13" customFormat="1">
      <c r="B31" s="12"/>
      <c r="C31" s="14"/>
      <c r="W31" s="149"/>
    </row>
    <row r="32" spans="2:23" s="13" customFormat="1">
      <c r="B32" s="12"/>
      <c r="C32" s="14"/>
      <c r="W32" s="149"/>
    </row>
    <row r="33" spans="2:23" s="13" customFormat="1">
      <c r="B33" s="12"/>
      <c r="C33" s="14"/>
      <c r="W33" s="149"/>
    </row>
  </sheetData>
  <autoFilter ref="C6:S6" xr:uid="{7B828EDB-901C-404C-98B5-E64A905CC40B}">
    <sortState xmlns:xlrd2="http://schemas.microsoft.com/office/spreadsheetml/2017/richdata2" ref="C7:S12">
      <sortCondition ref="S6"/>
    </sortState>
  </autoFilter>
  <mergeCells count="2">
    <mergeCell ref="V3:V6"/>
    <mergeCell ref="W3:W6"/>
  </mergeCells>
  <conditionalFormatting sqref="D7:D12">
    <cfRule type="duplicateValues" dxfId="63" priority="656"/>
  </conditionalFormatting>
  <conditionalFormatting sqref="L5">
    <cfRule type="cellIs" dxfId="62" priority="2" operator="lessThan">
      <formula>0</formula>
    </cfRule>
    <cfRule type="cellIs" dxfId="61" priority="3" operator="greaterThan">
      <formula>0</formula>
    </cfRule>
  </conditionalFormatting>
  <conditionalFormatting sqref="V1:V3 V7:V1048576">
    <cfRule type="cellIs" dxfId="60" priority="5" operator="equal">
      <formula>"X"</formula>
    </cfRule>
  </conditionalFormatting>
  <conditionalFormatting sqref="W1:W3 W7:W1048576">
    <cfRule type="cellIs" dxfId="59" priority="4" operator="equal">
      <formula>"Sortierung A bis Z"</formula>
    </cfRule>
  </conditionalFormatting>
  <pageMargins left="0.70866141732283472" right="0.70866141732283472" top="0.78740157480314965" bottom="0.78740157480314965" header="0.31496062992125984" footer="0.31496062992125984"/>
  <pageSetup paperSize="9" scale="64"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E4848-3CB2-4DDD-9915-A4D6E0889726}">
  <sheetPr>
    <tabColor theme="7"/>
    <pageSetUpPr fitToPage="1"/>
  </sheetPr>
  <dimension ref="B1:AA33"/>
  <sheetViews>
    <sheetView showGridLines="0" zoomScaleNormal="100" zoomScaleSheetLayoutView="130" workbookViewId="0">
      <pane xSplit="5" ySplit="6" topLeftCell="F7" activePane="bottomRight" state="frozen"/>
      <selection pane="bottomRight" activeCell="J24" sqref="J24"/>
      <selection pane="bottomLeft" activeCell="J24" sqref="J24"/>
      <selection pane="topRight" activeCell="J24" sqref="J24"/>
    </sheetView>
  </sheetViews>
  <sheetFormatPr defaultColWidth="11.42578125" defaultRowHeight="14.25"/>
  <cols>
    <col min="1" max="1" width="2.7109375" style="5" customWidth="1"/>
    <col min="2" max="2" width="3.7109375" style="3" customWidth="1"/>
    <col min="3" max="3" width="3.28515625" style="6" customWidth="1"/>
    <col min="4" max="4" width="4.28515625" style="5" customWidth="1"/>
    <col min="5" max="5" width="16.42578125" style="13" bestFit="1" customWidth="1"/>
    <col min="6" max="6" width="8.42578125" style="5" customWidth="1"/>
    <col min="7" max="7" width="11.7109375" style="5" customWidth="1"/>
    <col min="8" max="8" width="15.7109375" style="13" customWidth="1"/>
    <col min="9" max="9" width="8.7109375" style="5" customWidth="1"/>
    <col min="10" max="10" width="11.7109375" style="5" customWidth="1"/>
    <col min="11" max="11" width="9.7109375" style="5" customWidth="1"/>
    <col min="12" max="12" width="11.85546875" style="5" bestFit="1" customWidth="1"/>
    <col min="13" max="13" width="13.42578125" style="5" bestFit="1" customWidth="1"/>
    <col min="14" max="15" width="11.85546875" style="5" bestFit="1" customWidth="1"/>
    <col min="16" max="17" width="11.85546875" style="5" customWidth="1"/>
    <col min="18" max="18" width="11.85546875" style="5" bestFit="1" customWidth="1"/>
    <col min="19" max="19" width="13.5703125" style="5" bestFit="1" customWidth="1"/>
    <col min="20" max="20" width="11.42578125" style="5"/>
    <col min="21" max="21" width="2.42578125" style="5" bestFit="1" customWidth="1"/>
    <col min="22" max="22" width="3" style="5" bestFit="1" customWidth="1"/>
    <col min="23" max="23" width="13.5703125" style="148" bestFit="1" customWidth="1"/>
    <col min="24" max="24" width="3" style="5" bestFit="1" customWidth="1"/>
    <col min="25" max="25" width="9.28515625" style="5" bestFit="1" customWidth="1"/>
    <col min="26" max="26" width="9.28515625" style="5" customWidth="1"/>
    <col min="27" max="16384" width="11.42578125" style="5"/>
  </cols>
  <sheetData>
    <row r="1" spans="2:27" s="7" customFormat="1" ht="20.25">
      <c r="B1" s="18" t="str">
        <f>Teilnehmer!B1</f>
        <v>20. Fürst von Wrede Rallye 2024</v>
      </c>
      <c r="C1" s="18"/>
      <c r="D1" s="18"/>
      <c r="E1" s="18"/>
      <c r="F1" s="18"/>
      <c r="G1" s="18"/>
      <c r="H1" s="18"/>
      <c r="I1" s="18"/>
      <c r="J1" s="18"/>
      <c r="K1" s="18"/>
      <c r="L1" s="18"/>
      <c r="M1" s="18"/>
      <c r="N1" s="18"/>
      <c r="O1" s="18"/>
      <c r="P1" s="18"/>
      <c r="Q1" s="18"/>
      <c r="R1" s="18"/>
      <c r="S1" s="18"/>
      <c r="W1" s="147"/>
      <c r="Y1" s="62"/>
      <c r="Z1" s="61" t="s">
        <v>312</v>
      </c>
      <c r="AA1" s="101" t="s">
        <v>58</v>
      </c>
    </row>
    <row r="2" spans="2:27" s="7" customFormat="1" ht="14.1" customHeight="1">
      <c r="B2" s="37"/>
      <c r="C2" s="37"/>
      <c r="D2" s="37"/>
      <c r="E2" s="37"/>
      <c r="F2" s="37"/>
      <c r="G2" s="37"/>
      <c r="H2" s="37"/>
      <c r="I2" s="37"/>
      <c r="J2" s="37"/>
      <c r="K2" s="37"/>
      <c r="L2" s="37"/>
      <c r="M2" s="37"/>
      <c r="N2" s="37"/>
      <c r="O2" s="37"/>
      <c r="P2" s="37"/>
      <c r="Q2" s="37"/>
      <c r="R2" s="37"/>
      <c r="S2" s="37"/>
      <c r="W2" s="147"/>
      <c r="X2" s="51" t="s">
        <v>18</v>
      </c>
      <c r="Y2" s="52">
        <f>Teilnehmer!$U$5</f>
        <v>0.2</v>
      </c>
      <c r="Z2" s="53">
        <f>ROUND($L$4*Y2,0.5)</f>
        <v>0</v>
      </c>
    </row>
    <row r="3" spans="2:27" ht="15" customHeight="1">
      <c r="V3" s="335" t="s">
        <v>313</v>
      </c>
      <c r="W3" s="343" t="s">
        <v>314</v>
      </c>
      <c r="X3" s="54" t="s">
        <v>26</v>
      </c>
      <c r="Y3" s="49">
        <f>Teilnehmer!$U$6</f>
        <v>0.25</v>
      </c>
      <c r="Z3" s="55">
        <f>Z2+ROUND($L$4*Y3,0.5)</f>
        <v>0</v>
      </c>
    </row>
    <row r="4" spans="2:27" ht="15.75" customHeight="1">
      <c r="E4" s="8" t="s">
        <v>315</v>
      </c>
      <c r="G4" s="8" t="s">
        <v>328</v>
      </c>
      <c r="H4" s="9" t="s">
        <v>3</v>
      </c>
      <c r="I4" s="10">
        <v>6</v>
      </c>
      <c r="L4" s="11">
        <f>COUNTA(D7:D12)</f>
        <v>0</v>
      </c>
      <c r="M4" s="8" t="s">
        <v>317</v>
      </c>
      <c r="V4" s="335"/>
      <c r="W4" s="343"/>
      <c r="X4" s="56" t="s">
        <v>33</v>
      </c>
      <c r="Y4" s="50">
        <f>Teilnehmer!$U$7</f>
        <v>0.3</v>
      </c>
      <c r="Z4" s="57">
        <f>Z3+ROUND($L$4*Y4,0.5)</f>
        <v>0</v>
      </c>
    </row>
    <row r="5" spans="2:27" ht="15" customHeight="1" thickBot="1">
      <c r="L5" s="15">
        <f>L4-Teilnehmer!P9</f>
        <v>0</v>
      </c>
      <c r="M5" s="15" t="s">
        <v>283</v>
      </c>
      <c r="V5" s="335"/>
      <c r="W5" s="343"/>
      <c r="X5" s="58" t="s">
        <v>39</v>
      </c>
      <c r="Y5" s="59" t="s">
        <v>40</v>
      </c>
      <c r="Z5" s="60"/>
    </row>
    <row r="6" spans="2:27" s="183" customFormat="1" ht="29.25">
      <c r="B6" s="19" t="s">
        <v>318</v>
      </c>
      <c r="C6" s="20" t="s">
        <v>319</v>
      </c>
      <c r="D6" s="21" t="s">
        <v>299</v>
      </c>
      <c r="E6" s="20" t="s">
        <v>4</v>
      </c>
      <c r="F6" s="22" t="s">
        <v>5</v>
      </c>
      <c r="G6" s="20" t="s">
        <v>6</v>
      </c>
      <c r="H6" s="20" t="s">
        <v>7</v>
      </c>
      <c r="I6" s="22" t="s">
        <v>5</v>
      </c>
      <c r="J6" s="20" t="s">
        <v>6</v>
      </c>
      <c r="K6" s="20" t="s">
        <v>8</v>
      </c>
      <c r="L6" s="22" t="s">
        <v>320</v>
      </c>
      <c r="M6" s="22" t="s">
        <v>321</v>
      </c>
      <c r="N6" s="22" t="s">
        <v>322</v>
      </c>
      <c r="O6" s="22" t="s">
        <v>323</v>
      </c>
      <c r="P6" s="22" t="s">
        <v>324</v>
      </c>
      <c r="Q6" s="22" t="s">
        <v>325</v>
      </c>
      <c r="R6" s="236" t="s">
        <v>297</v>
      </c>
      <c r="S6" s="240" t="s">
        <v>326</v>
      </c>
      <c r="T6" s="238" t="s">
        <v>327</v>
      </c>
      <c r="V6" s="335"/>
      <c r="W6" s="343"/>
      <c r="X6" s="204"/>
    </row>
    <row r="7" spans="2:27" s="197" customFormat="1" ht="27.75" customHeight="1">
      <c r="B7" s="188">
        <v>1</v>
      </c>
      <c r="C7" s="190" t="str">
        <f t="shared" ref="C7:C12" si="0">IF(ISBLANK(D7),"",IF(B7&lt;=$Z$2,"G",IF(AND(B7&gt;$Z$2,B7&lt;=$Z$3),"S",IF(AND(B7&gt;$Z$3,B7&lt;=$Z$4),"B","E"))))</f>
        <v/>
      </c>
      <c r="D7" s="205"/>
      <c r="E7" s="181" t="str">
        <f>IF(ISBLANK($D7),"",VLOOKUP($D7,Teilnehmer!$B$4:$K$63,4,0))</f>
        <v/>
      </c>
      <c r="F7" s="181" t="str">
        <f>IF(ISBLANK($D7),"",VLOOKUP($D7,Teilnehmer!$B$4:$K$63,5,0))</f>
        <v/>
      </c>
      <c r="G7" s="192" t="str">
        <f>IF(ISBLANK($D7),"",VLOOKUP($D7,Teilnehmer!$B$4:$K$63,6,0))</f>
        <v/>
      </c>
      <c r="H7" s="181" t="str">
        <f>IF(ISBLANK($D7),"",VLOOKUP($D7,Teilnehmer!$B$4:$K$63,7,0))</f>
        <v/>
      </c>
      <c r="I7" s="181" t="str">
        <f>IF(ISBLANK($D7),"",VLOOKUP($D7,Teilnehmer!$B$4:$K$63,8,0))</f>
        <v/>
      </c>
      <c r="J7" s="192" t="str">
        <f>IF(ISBLANK($D7),"",VLOOKUP($D7,Teilnehmer!$B$4:$K$63,9,0))</f>
        <v/>
      </c>
      <c r="K7" s="206" t="str">
        <f>IF(ISBLANK($D7),"",VLOOKUP($D7,Teilnehmer!$B$4:$K$63,10,0))</f>
        <v/>
      </c>
      <c r="L7" s="207" t="str">
        <f>IF(ISBLANK($D7),"",VLOOKUP($D7,'Ausgabe Zeiten'!M:AV,4,0))</f>
        <v/>
      </c>
      <c r="M7" s="207" t="str">
        <f>IF(ISBLANK($D7),"",VLOOKUP($D7,'Ausgabe Zeiten'!M:AV,9,0))</f>
        <v/>
      </c>
      <c r="N7" s="207" t="str">
        <f>IF(ISBLANK($D7),"",VLOOKUP($D7,'Ausgabe Zeiten'!M:AV,14,0))</f>
        <v/>
      </c>
      <c r="O7" s="207" t="str">
        <f>IF(ISBLANK($D7),"",VLOOKUP($D7,'Ausgabe Zeiten'!M:AV,19,0))</f>
        <v/>
      </c>
      <c r="P7" s="207" t="str">
        <f>IF(ISBLANK($D7),"",VLOOKUP($D7,'Ausgabe Zeiten'!M:AV,24,0))</f>
        <v/>
      </c>
      <c r="Q7" s="207" t="str">
        <f>IF(ISBLANK($D7),"",VLOOKUP($D7,'Ausgabe Zeiten'!M:AV,29,0))</f>
        <v/>
      </c>
      <c r="R7" s="237" t="str">
        <f>IF(ISBLANK($D7),"",VLOOKUP($D7,'Ausgabe Zeiten'!M:AV,35,0))</f>
        <v/>
      </c>
      <c r="S7" s="241" t="str">
        <f>IF(ISBLANK($D7),"",VLOOKUP($D7,'Ausgabe Zeiten'!M:AV,36,0))</f>
        <v/>
      </c>
      <c r="T7" s="239" t="str">
        <f>IF(ISBLANK(D7),"",ROUND((23-20*(B7-1)/$L$4),2))</f>
        <v/>
      </c>
      <c r="V7" s="208" t="str">
        <f t="shared" ref="V7:V12" si="1">IF(ISBLANK($D7),"",IF(S7-SUM(L7:R7)=0,"ok","X"))</f>
        <v/>
      </c>
      <c r="W7" s="198" t="str">
        <f t="shared" ref="W7:W12" si="2">IF(ISBLANK($D7),"",IF(S8&gt;S7,"ok","Sortierung A bis Z"))</f>
        <v/>
      </c>
      <c r="X7" s="208"/>
    </row>
    <row r="8" spans="2:27" s="197" customFormat="1" ht="27.75" customHeight="1">
      <c r="B8" s="188" t="str">
        <f>IF(ISBLANK(D8),"",B7+1)</f>
        <v/>
      </c>
      <c r="C8" s="190" t="str">
        <f t="shared" si="0"/>
        <v/>
      </c>
      <c r="D8" s="205"/>
      <c r="E8" s="181" t="str">
        <f>IF(ISBLANK($D8),"",VLOOKUP($D8,Teilnehmer!$B$4:$K$63,4,0))</f>
        <v/>
      </c>
      <c r="F8" s="181" t="str">
        <f>IF(ISBLANK($D8),"",VLOOKUP($D8,Teilnehmer!$B$4:$K$63,5,0))</f>
        <v/>
      </c>
      <c r="G8" s="192" t="str">
        <f>IF(ISBLANK($D8),"",VLOOKUP($D8,Teilnehmer!$B$4:$K$63,6,0))</f>
        <v/>
      </c>
      <c r="H8" s="181" t="str">
        <f>IF(ISBLANK($D8),"",VLOOKUP($D8,Teilnehmer!$B$4:$K$63,7,0))</f>
        <v/>
      </c>
      <c r="I8" s="181" t="str">
        <f>IF(ISBLANK($D8),"",VLOOKUP($D8,Teilnehmer!$B$4:$K$63,8,0))</f>
        <v/>
      </c>
      <c r="J8" s="192" t="str">
        <f>IF(ISBLANK($D8),"",VLOOKUP($D8,Teilnehmer!$B$4:$K$63,9,0))</f>
        <v/>
      </c>
      <c r="K8" s="206" t="str">
        <f>IF(ISBLANK($D8),"",VLOOKUP($D8,Teilnehmer!$B$4:$K$63,10,0))</f>
        <v/>
      </c>
      <c r="L8" s="207" t="str">
        <f>IF(ISBLANK($D8),"",VLOOKUP($D8,'Ausgabe Zeiten'!M:AV,4,0))</f>
        <v/>
      </c>
      <c r="M8" s="207" t="str">
        <f>IF(ISBLANK($D8),"",VLOOKUP($D8,'Ausgabe Zeiten'!M:AV,9,0))</f>
        <v/>
      </c>
      <c r="N8" s="207" t="str">
        <f>IF(ISBLANK($D8),"",VLOOKUP($D8,'Ausgabe Zeiten'!M:AV,14,0))</f>
        <v/>
      </c>
      <c r="O8" s="207" t="str">
        <f>IF(ISBLANK($D8),"",VLOOKUP($D8,'Ausgabe Zeiten'!M:AV,19,0))</f>
        <v/>
      </c>
      <c r="P8" s="207" t="str">
        <f>IF(ISBLANK($D8),"",VLOOKUP($D8,'Ausgabe Zeiten'!M:AV,24,0))</f>
        <v/>
      </c>
      <c r="Q8" s="207" t="str">
        <f>IF(ISBLANK($D8),"",VLOOKUP($D8,'Ausgabe Zeiten'!M:AV,29,0))</f>
        <v/>
      </c>
      <c r="R8" s="237" t="str">
        <f>IF(ISBLANK($D8),"",VLOOKUP($D8,'Ausgabe Zeiten'!M:AV,35,0))</f>
        <v/>
      </c>
      <c r="S8" s="241" t="str">
        <f>IF(ISBLANK($D8),"",VLOOKUP($D8,'Ausgabe Zeiten'!M:AV,36,0))</f>
        <v/>
      </c>
      <c r="T8" s="239" t="str">
        <f t="shared" ref="T8:T12" si="3">IF(ISBLANK(D8),"",ROUND((23-20*(B8-1)/$L$4),2))</f>
        <v/>
      </c>
      <c r="V8" s="208" t="str">
        <f t="shared" si="1"/>
        <v/>
      </c>
      <c r="W8" s="198" t="str">
        <f t="shared" si="2"/>
        <v/>
      </c>
      <c r="X8" s="208"/>
    </row>
    <row r="9" spans="2:27" s="197" customFormat="1" ht="27.75" customHeight="1">
      <c r="B9" s="188" t="str">
        <f t="shared" ref="B9:B12" si="4">IF(ISBLANK(D9),"",B8+1)</f>
        <v/>
      </c>
      <c r="C9" s="190" t="str">
        <f t="shared" si="0"/>
        <v/>
      </c>
      <c r="D9" s="205"/>
      <c r="E9" s="181" t="str">
        <f>IF(ISBLANK($D9),"",VLOOKUP($D9,Teilnehmer!$B$4:$K$63,4,0))</f>
        <v/>
      </c>
      <c r="F9" s="181" t="str">
        <f>IF(ISBLANK($D9),"",VLOOKUP($D9,Teilnehmer!$B$4:$K$63,5,0))</f>
        <v/>
      </c>
      <c r="G9" s="192" t="str">
        <f>IF(ISBLANK($D9),"",VLOOKUP($D9,Teilnehmer!$B$4:$K$63,6,0))</f>
        <v/>
      </c>
      <c r="H9" s="181" t="str">
        <f>IF(ISBLANK($D9),"",VLOOKUP($D9,Teilnehmer!$B$4:$K$63,7,0))</f>
        <v/>
      </c>
      <c r="I9" s="181" t="str">
        <f>IF(ISBLANK($D9),"",VLOOKUP($D9,Teilnehmer!$B$4:$K$63,8,0))</f>
        <v/>
      </c>
      <c r="J9" s="192" t="str">
        <f>IF(ISBLANK($D9),"",VLOOKUP($D9,Teilnehmer!$B$4:$K$63,9,0))</f>
        <v/>
      </c>
      <c r="K9" s="206" t="str">
        <f>IF(ISBLANK($D9),"",VLOOKUP($D9,Teilnehmer!$B$4:$K$63,10,0))</f>
        <v/>
      </c>
      <c r="L9" s="207" t="str">
        <f>IF(ISBLANK($D9),"",VLOOKUP($D9,'Ausgabe Zeiten'!M:AV,4,0))</f>
        <v/>
      </c>
      <c r="M9" s="207" t="str">
        <f>IF(ISBLANK($D9),"",VLOOKUP($D9,'Ausgabe Zeiten'!M:AV,9,0))</f>
        <v/>
      </c>
      <c r="N9" s="207" t="str">
        <f>IF(ISBLANK($D9),"",VLOOKUP($D9,'Ausgabe Zeiten'!M:AV,14,0))</f>
        <v/>
      </c>
      <c r="O9" s="207" t="str">
        <f>IF(ISBLANK($D9),"",VLOOKUP($D9,'Ausgabe Zeiten'!M:AV,19,0))</f>
        <v/>
      </c>
      <c r="P9" s="207" t="str">
        <f>IF(ISBLANK($D9),"",VLOOKUP($D9,'Ausgabe Zeiten'!M:AV,24,0))</f>
        <v/>
      </c>
      <c r="Q9" s="207" t="str">
        <f>IF(ISBLANK($D9),"",VLOOKUP($D9,'Ausgabe Zeiten'!M:AV,29,0))</f>
        <v/>
      </c>
      <c r="R9" s="237" t="str">
        <f>IF(ISBLANK($D9),"",VLOOKUP($D9,'Ausgabe Zeiten'!M:AV,35,0))</f>
        <v/>
      </c>
      <c r="S9" s="241" t="str">
        <f>IF(ISBLANK($D9),"",VLOOKUP($D9,'Ausgabe Zeiten'!M:AV,36,0))</f>
        <v/>
      </c>
      <c r="T9" s="239" t="str">
        <f t="shared" si="3"/>
        <v/>
      </c>
      <c r="V9" s="208" t="str">
        <f t="shared" si="1"/>
        <v/>
      </c>
      <c r="W9" s="198" t="str">
        <f t="shared" si="2"/>
        <v/>
      </c>
      <c r="X9" s="208"/>
    </row>
    <row r="10" spans="2:27" s="197" customFormat="1" ht="27.75" customHeight="1" thickBot="1">
      <c r="B10" s="188" t="str">
        <f t="shared" si="4"/>
        <v/>
      </c>
      <c r="C10" s="190" t="str">
        <f t="shared" si="0"/>
        <v/>
      </c>
      <c r="D10" s="205"/>
      <c r="E10" s="181" t="str">
        <f>IF(ISBLANK($D10),"",VLOOKUP($D10,Teilnehmer!$B$4:$K$63,4,0))</f>
        <v/>
      </c>
      <c r="F10" s="181" t="str">
        <f>IF(ISBLANK($D10),"",VLOOKUP($D10,Teilnehmer!$B$4:$K$63,5,0))</f>
        <v/>
      </c>
      <c r="G10" s="192" t="str">
        <f>IF(ISBLANK($D10),"",VLOOKUP($D10,Teilnehmer!$B$4:$K$63,6,0))</f>
        <v/>
      </c>
      <c r="H10" s="181" t="str">
        <f>IF(ISBLANK($D10),"",VLOOKUP($D10,Teilnehmer!$B$4:$K$63,7,0))</f>
        <v/>
      </c>
      <c r="I10" s="181" t="str">
        <f>IF(ISBLANK($D10),"",VLOOKUP($D10,Teilnehmer!$B$4:$K$63,8,0))</f>
        <v/>
      </c>
      <c r="J10" s="192" t="str">
        <f>IF(ISBLANK($D10),"",VLOOKUP($D10,Teilnehmer!$B$4:$K$63,9,0))</f>
        <v/>
      </c>
      <c r="K10" s="206" t="str">
        <f>IF(ISBLANK($D10),"",VLOOKUP($D10,Teilnehmer!$B$4:$K$63,10,0))</f>
        <v/>
      </c>
      <c r="L10" s="207" t="str">
        <f>IF(ISBLANK($D10),"",VLOOKUP($D10,'Ausgabe Zeiten'!M:AV,4,0))</f>
        <v/>
      </c>
      <c r="M10" s="207" t="str">
        <f>IF(ISBLANK($D10),"",VLOOKUP($D10,'Ausgabe Zeiten'!M:AV,9,0))</f>
        <v/>
      </c>
      <c r="N10" s="207" t="str">
        <f>IF(ISBLANK($D10),"",VLOOKUP($D10,'Ausgabe Zeiten'!M:AV,14,0))</f>
        <v/>
      </c>
      <c r="O10" s="207" t="str">
        <f>IF(ISBLANK($D10),"",VLOOKUP($D10,'Ausgabe Zeiten'!M:AV,19,0))</f>
        <v/>
      </c>
      <c r="P10" s="207" t="str">
        <f>IF(ISBLANK($D10),"",VLOOKUP($D10,'Ausgabe Zeiten'!M:AV,24,0))</f>
        <v/>
      </c>
      <c r="Q10" s="207" t="str">
        <f>IF(ISBLANK($D10),"",VLOOKUP($D10,'Ausgabe Zeiten'!M:AV,29,0))</f>
        <v/>
      </c>
      <c r="R10" s="237" t="str">
        <f>IF(ISBLANK($D10),"",VLOOKUP($D10,'Ausgabe Zeiten'!M:AV,35,0))</f>
        <v/>
      </c>
      <c r="S10" s="242" t="str">
        <f>IF(ISBLANK($D10),"",VLOOKUP($D10,'Ausgabe Zeiten'!M:AV,36,0))</f>
        <v/>
      </c>
      <c r="T10" s="239" t="str">
        <f t="shared" si="3"/>
        <v/>
      </c>
      <c r="V10" s="208" t="str">
        <f t="shared" si="1"/>
        <v/>
      </c>
      <c r="W10" s="198" t="str">
        <f t="shared" si="2"/>
        <v/>
      </c>
      <c r="X10" s="208"/>
    </row>
    <row r="11" spans="2:27" s="197" customFormat="1" ht="27.75" customHeight="1" thickBot="1">
      <c r="B11" s="188" t="str">
        <f t="shared" si="4"/>
        <v/>
      </c>
      <c r="C11" s="190" t="str">
        <f t="shared" si="0"/>
        <v/>
      </c>
      <c r="D11" s="205"/>
      <c r="E11" s="181" t="str">
        <f>IF(ISBLANK($D11),"",VLOOKUP($D11,Teilnehmer!$B$4:$K$63,4,0))</f>
        <v/>
      </c>
      <c r="F11" s="181" t="str">
        <f>IF(ISBLANK($D11),"",VLOOKUP($D11,Teilnehmer!$B$4:$K$63,5,0))</f>
        <v/>
      </c>
      <c r="G11" s="192" t="str">
        <f>IF(ISBLANK($D11),"",VLOOKUP($D11,Teilnehmer!$B$4:$K$63,6,0))</f>
        <v/>
      </c>
      <c r="H11" s="181" t="str">
        <f>IF(ISBLANK($D11),"",VLOOKUP($D11,Teilnehmer!$B$4:$K$63,7,0))</f>
        <v/>
      </c>
      <c r="I11" s="181" t="str">
        <f>IF(ISBLANK($D11),"",VLOOKUP($D11,Teilnehmer!$B$4:$K$63,8,0))</f>
        <v/>
      </c>
      <c r="J11" s="192" t="str">
        <f>IF(ISBLANK($D11),"",VLOOKUP($D11,Teilnehmer!$B$4:$K$63,9,0))</f>
        <v/>
      </c>
      <c r="K11" s="206" t="str">
        <f>IF(ISBLANK($D11),"",VLOOKUP($D11,Teilnehmer!$B$4:$K$63,10,0))</f>
        <v/>
      </c>
      <c r="L11" s="207" t="str">
        <f>IF(ISBLANK($D11),"",VLOOKUP($D11,'Ausgabe Zeiten'!M:AV,4,0))</f>
        <v/>
      </c>
      <c r="M11" s="207" t="str">
        <f>IF(ISBLANK($D11),"",VLOOKUP($D11,'Ausgabe Zeiten'!M:AV,9,0))</f>
        <v/>
      </c>
      <c r="N11" s="207" t="str">
        <f>IF(ISBLANK($D11),"",VLOOKUP($D11,'Ausgabe Zeiten'!M:AV,14,0))</f>
        <v/>
      </c>
      <c r="O11" s="207" t="str">
        <f>IF(ISBLANK($D11),"",VLOOKUP($D11,'Ausgabe Zeiten'!M:AV,19,0))</f>
        <v/>
      </c>
      <c r="P11" s="207" t="str">
        <f>IF(ISBLANK($D11),"",VLOOKUP($D11,'Ausgabe Zeiten'!M:AV,24,0))</f>
        <v/>
      </c>
      <c r="Q11" s="207" t="str">
        <f>IF(ISBLANK($D11),"",VLOOKUP($D11,'Ausgabe Zeiten'!M:AV,29,0))</f>
        <v/>
      </c>
      <c r="R11" s="237" t="str">
        <f>IF(ISBLANK($D11),"",VLOOKUP($D11,'Ausgabe Zeiten'!M:AV,35,0))</f>
        <v/>
      </c>
      <c r="S11" s="242" t="str">
        <f>IF(ISBLANK($D11),"",VLOOKUP($D11,'Ausgabe Zeiten'!M:AV,36,0))</f>
        <v/>
      </c>
      <c r="T11" s="239" t="str">
        <f t="shared" si="3"/>
        <v/>
      </c>
      <c r="V11" s="208" t="str">
        <f t="shared" si="1"/>
        <v/>
      </c>
      <c r="W11" s="198" t="str">
        <f t="shared" si="2"/>
        <v/>
      </c>
      <c r="X11" s="208"/>
    </row>
    <row r="12" spans="2:27" s="197" customFormat="1" ht="27.75" customHeight="1" thickBot="1">
      <c r="B12" s="188" t="str">
        <f t="shared" si="4"/>
        <v/>
      </c>
      <c r="C12" s="190" t="str">
        <f t="shared" si="0"/>
        <v/>
      </c>
      <c r="D12" s="205"/>
      <c r="E12" s="181" t="str">
        <f>IF(ISBLANK($D12),"",VLOOKUP($D12,Teilnehmer!$B$4:$K$63,4,0))</f>
        <v/>
      </c>
      <c r="F12" s="181" t="str">
        <f>IF(ISBLANK($D12),"",VLOOKUP($D12,Teilnehmer!$B$4:$K$63,5,0))</f>
        <v/>
      </c>
      <c r="G12" s="192" t="str">
        <f>IF(ISBLANK($D12),"",VLOOKUP($D12,Teilnehmer!$B$4:$K$63,6,0))</f>
        <v/>
      </c>
      <c r="H12" s="181" t="str">
        <f>IF(ISBLANK($D12),"",VLOOKUP($D12,Teilnehmer!$B$4:$K$63,7,0))</f>
        <v/>
      </c>
      <c r="I12" s="181" t="str">
        <f>IF(ISBLANK($D12),"",VLOOKUP($D12,Teilnehmer!$B$4:$K$63,8,0))</f>
        <v/>
      </c>
      <c r="J12" s="192" t="str">
        <f>IF(ISBLANK($D12),"",VLOOKUP($D12,Teilnehmer!$B$4:$K$63,9,0))</f>
        <v/>
      </c>
      <c r="K12" s="206" t="str">
        <f>IF(ISBLANK($D12),"",VLOOKUP($D12,Teilnehmer!$B$4:$K$63,10,0))</f>
        <v/>
      </c>
      <c r="L12" s="207" t="str">
        <f>IF(ISBLANK($D12),"",VLOOKUP($D12,'Ausgabe Zeiten'!M:AV,4,0))</f>
        <v/>
      </c>
      <c r="M12" s="207" t="str">
        <f>IF(ISBLANK($D12),"",VLOOKUP($D12,'Ausgabe Zeiten'!M:AV,9,0))</f>
        <v/>
      </c>
      <c r="N12" s="207" t="str">
        <f>IF(ISBLANK($D12),"",VLOOKUP($D12,'Ausgabe Zeiten'!M:AV,14,0))</f>
        <v/>
      </c>
      <c r="O12" s="207" t="str">
        <f>IF(ISBLANK($D12),"",VLOOKUP($D12,'Ausgabe Zeiten'!M:AV,19,0))</f>
        <v/>
      </c>
      <c r="P12" s="207" t="str">
        <f>IF(ISBLANK($D12),"",VLOOKUP($D12,'Ausgabe Zeiten'!M:AV,24,0))</f>
        <v/>
      </c>
      <c r="Q12" s="207" t="str">
        <f>IF(ISBLANK($D12),"",VLOOKUP($D12,'Ausgabe Zeiten'!M:AV,29,0))</f>
        <v/>
      </c>
      <c r="R12" s="237" t="str">
        <f>IF(ISBLANK($D12),"",VLOOKUP($D12,'Ausgabe Zeiten'!M:AV,35,0))</f>
        <v/>
      </c>
      <c r="S12" s="242" t="str">
        <f>IF(ISBLANK($D12),"",VLOOKUP($D12,'Ausgabe Zeiten'!M:AV,36,0))</f>
        <v/>
      </c>
      <c r="T12" s="239" t="str">
        <f t="shared" si="3"/>
        <v/>
      </c>
      <c r="V12" s="208" t="str">
        <f t="shared" si="1"/>
        <v/>
      </c>
      <c r="W12" s="198" t="str">
        <f t="shared" si="2"/>
        <v/>
      </c>
      <c r="X12" s="208"/>
    </row>
    <row r="13" spans="2:27" s="197" customFormat="1">
      <c r="B13" s="209"/>
      <c r="C13" s="210"/>
      <c r="W13" s="211"/>
    </row>
    <row r="14" spans="2:27" s="197" customFormat="1">
      <c r="B14" s="209"/>
      <c r="C14" s="210"/>
      <c r="W14" s="211"/>
    </row>
    <row r="15" spans="2:27" s="197" customFormat="1">
      <c r="B15" s="209"/>
      <c r="C15" s="210"/>
      <c r="W15" s="211"/>
    </row>
    <row r="16" spans="2:27" s="197" customFormat="1">
      <c r="B16" s="209"/>
      <c r="C16" s="210"/>
      <c r="W16" s="211"/>
    </row>
    <row r="17" spans="2:23" s="197" customFormat="1">
      <c r="B17" s="209"/>
      <c r="C17" s="210"/>
      <c r="W17" s="211"/>
    </row>
    <row r="18" spans="2:23" s="197" customFormat="1">
      <c r="B18" s="209"/>
      <c r="C18" s="210"/>
      <c r="W18" s="211"/>
    </row>
    <row r="19" spans="2:23" s="197" customFormat="1">
      <c r="B19" s="209"/>
      <c r="C19" s="210"/>
      <c r="W19" s="211"/>
    </row>
    <row r="20" spans="2:23" s="13" customFormat="1">
      <c r="B20" s="12"/>
      <c r="C20" s="14"/>
      <c r="W20" s="149"/>
    </row>
    <row r="21" spans="2:23" s="13" customFormat="1">
      <c r="B21" s="12"/>
      <c r="C21" s="14"/>
      <c r="W21" s="149"/>
    </row>
    <row r="22" spans="2:23" s="13" customFormat="1">
      <c r="B22" s="12"/>
      <c r="C22" s="14"/>
      <c r="W22" s="149"/>
    </row>
    <row r="23" spans="2:23" s="13" customFormat="1">
      <c r="B23" s="12"/>
      <c r="C23" s="14"/>
      <c r="W23" s="149"/>
    </row>
    <row r="24" spans="2:23" s="13" customFormat="1">
      <c r="B24" s="12"/>
      <c r="C24" s="14"/>
      <c r="W24" s="149"/>
    </row>
    <row r="25" spans="2:23" s="13" customFormat="1">
      <c r="B25" s="12"/>
      <c r="C25" s="14"/>
      <c r="W25" s="149"/>
    </row>
    <row r="26" spans="2:23" s="13" customFormat="1">
      <c r="B26" s="12"/>
      <c r="C26" s="14"/>
      <c r="W26" s="149"/>
    </row>
    <row r="27" spans="2:23" s="13" customFormat="1">
      <c r="B27" s="12"/>
      <c r="C27" s="14"/>
      <c r="W27" s="149"/>
    </row>
    <row r="28" spans="2:23" s="13" customFormat="1">
      <c r="B28" s="12"/>
      <c r="C28" s="14"/>
      <c r="W28" s="149"/>
    </row>
    <row r="29" spans="2:23" s="13" customFormat="1">
      <c r="B29" s="12"/>
      <c r="C29" s="14"/>
      <c r="W29" s="149"/>
    </row>
    <row r="30" spans="2:23" s="13" customFormat="1">
      <c r="B30" s="12"/>
      <c r="C30" s="14"/>
      <c r="W30" s="149"/>
    </row>
    <row r="31" spans="2:23" s="13" customFormat="1">
      <c r="B31" s="12"/>
      <c r="C31" s="14"/>
      <c r="W31" s="149"/>
    </row>
    <row r="32" spans="2:23" s="13" customFormat="1">
      <c r="B32" s="12"/>
      <c r="C32" s="14"/>
      <c r="W32" s="149"/>
    </row>
    <row r="33" spans="2:23" s="13" customFormat="1">
      <c r="B33" s="12"/>
      <c r="C33" s="14"/>
      <c r="W33" s="149"/>
    </row>
  </sheetData>
  <autoFilter ref="C6:S6" xr:uid="{7B828EDB-901C-404C-98B5-E64A905CC40B}">
    <sortState xmlns:xlrd2="http://schemas.microsoft.com/office/spreadsheetml/2017/richdata2" ref="C7:S10">
      <sortCondition ref="S6"/>
    </sortState>
  </autoFilter>
  <mergeCells count="2">
    <mergeCell ref="V3:V6"/>
    <mergeCell ref="W3:W6"/>
  </mergeCells>
  <conditionalFormatting sqref="D7:D12">
    <cfRule type="duplicateValues" dxfId="58" priority="5"/>
  </conditionalFormatting>
  <conditionalFormatting sqref="L5">
    <cfRule type="cellIs" dxfId="57" priority="1" operator="lessThan">
      <formula>0</formula>
    </cfRule>
    <cfRule type="cellIs" dxfId="56" priority="2" operator="greaterThan">
      <formula>0</formula>
    </cfRule>
  </conditionalFormatting>
  <conditionalFormatting sqref="V1:V3 V7:V1048576">
    <cfRule type="cellIs" dxfId="55" priority="4" operator="equal">
      <formula>"X"</formula>
    </cfRule>
  </conditionalFormatting>
  <conditionalFormatting sqref="W1:W3 W7:W1048576">
    <cfRule type="cellIs" dxfId="54" priority="3" operator="equal">
      <formula>"Sortierung A bis Z"</formula>
    </cfRule>
  </conditionalFormatting>
  <pageMargins left="0.70866141732283472" right="0.70866141732283472" top="0.78740157480314965" bottom="0.78740157480314965" header="0.31496062992125984" footer="0.31496062992125984"/>
  <pageSetup paperSize="9" scale="64"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67BD-937A-4A45-BFF2-CB6288DE2B0D}">
  <sheetPr>
    <tabColor theme="7"/>
    <pageSetUpPr fitToPage="1"/>
  </sheetPr>
  <dimension ref="B1:AA30"/>
  <sheetViews>
    <sheetView showGridLines="0" zoomScaleNormal="100" zoomScaleSheetLayoutView="110" workbookViewId="0">
      <pane xSplit="5" ySplit="6" topLeftCell="F7" activePane="bottomRight" state="frozen"/>
      <selection pane="bottomRight" activeCell="B1" sqref="B1:T9"/>
      <selection pane="bottomLeft" activeCell="J24" sqref="J24"/>
      <selection pane="topRight" activeCell="J24" sqref="J24"/>
    </sheetView>
  </sheetViews>
  <sheetFormatPr defaultColWidth="11.42578125" defaultRowHeight="14.25"/>
  <cols>
    <col min="1" max="1" width="2.7109375" style="5" customWidth="1"/>
    <col min="2" max="2" width="3.7109375" style="3" customWidth="1"/>
    <col min="3" max="3" width="3.28515625" style="6" customWidth="1"/>
    <col min="4" max="4" width="4.28515625" style="5" customWidth="1"/>
    <col min="5" max="5" width="16.42578125" style="13" bestFit="1" customWidth="1"/>
    <col min="6" max="6" width="8.42578125" style="5" customWidth="1"/>
    <col min="7" max="7" width="11.7109375" style="5" customWidth="1"/>
    <col min="8" max="8" width="15.7109375" style="13" customWidth="1"/>
    <col min="9" max="9" width="8.7109375" style="5" customWidth="1"/>
    <col min="10" max="10" width="11.7109375" style="5" customWidth="1"/>
    <col min="11" max="11" width="9.7109375" style="5" customWidth="1"/>
    <col min="12" max="12" width="11.85546875" style="5" bestFit="1" customWidth="1"/>
    <col min="13" max="13" width="13.42578125" style="5" bestFit="1" customWidth="1"/>
    <col min="14" max="15" width="11.85546875" style="5" bestFit="1" customWidth="1"/>
    <col min="16" max="16" width="11.85546875" style="5" customWidth="1"/>
    <col min="17" max="17" width="11.85546875" style="5" hidden="1" customWidth="1"/>
    <col min="18" max="18" width="11.85546875" style="5" bestFit="1" customWidth="1"/>
    <col min="19" max="19" width="13.5703125" style="5" bestFit="1" customWidth="1"/>
    <col min="20" max="20" width="11.42578125" style="5"/>
    <col min="21" max="21" width="2.42578125" style="5" bestFit="1" customWidth="1"/>
    <col min="22" max="22" width="3" style="5" bestFit="1" customWidth="1"/>
    <col min="23" max="23" width="13.5703125" style="148" bestFit="1" customWidth="1"/>
    <col min="24" max="24" width="3" style="5" bestFit="1" customWidth="1"/>
    <col min="25" max="25" width="9.28515625" style="5" bestFit="1" customWidth="1"/>
    <col min="26" max="26" width="9.28515625" style="5" customWidth="1"/>
    <col min="27" max="16384" width="11.42578125" style="5"/>
  </cols>
  <sheetData>
    <row r="1" spans="2:27" s="7" customFormat="1" ht="20.25">
      <c r="B1" s="18" t="str">
        <f>Teilnehmer!B1</f>
        <v>20. Fürst von Wrede Rallye 2024</v>
      </c>
      <c r="C1" s="18"/>
      <c r="D1" s="18"/>
      <c r="E1" s="18"/>
      <c r="F1" s="18"/>
      <c r="G1" s="18"/>
      <c r="H1" s="18"/>
      <c r="I1" s="18"/>
      <c r="J1" s="18"/>
      <c r="K1" s="18"/>
      <c r="L1" s="18"/>
      <c r="M1" s="18"/>
      <c r="N1" s="18"/>
      <c r="O1" s="18"/>
      <c r="P1" s="18"/>
      <c r="Q1" s="18"/>
      <c r="R1" s="18"/>
      <c r="S1" s="18"/>
      <c r="W1" s="147"/>
      <c r="Y1" s="62"/>
      <c r="Z1" s="61" t="s">
        <v>312</v>
      </c>
      <c r="AA1" s="101" t="s">
        <v>58</v>
      </c>
    </row>
    <row r="2" spans="2:27" s="7" customFormat="1" ht="14.1" customHeight="1">
      <c r="B2" s="37"/>
      <c r="C2" s="37"/>
      <c r="D2" s="37"/>
      <c r="E2" s="37"/>
      <c r="F2" s="37"/>
      <c r="G2" s="37"/>
      <c r="H2" s="37"/>
      <c r="I2" s="37"/>
      <c r="J2" s="37"/>
      <c r="K2" s="37"/>
      <c r="L2" s="37"/>
      <c r="M2" s="37"/>
      <c r="N2" s="37"/>
      <c r="O2" s="37"/>
      <c r="P2" s="37"/>
      <c r="Q2" s="37"/>
      <c r="R2" s="37"/>
      <c r="S2" s="37"/>
      <c r="W2" s="147"/>
      <c r="X2" s="51" t="s">
        <v>18</v>
      </c>
      <c r="Y2" s="52">
        <f>Teilnehmer!$U$5</f>
        <v>0.2</v>
      </c>
      <c r="Z2" s="53">
        <f>ROUND($L$4*Y2,0.5)</f>
        <v>1</v>
      </c>
    </row>
    <row r="3" spans="2:27" ht="15" customHeight="1">
      <c r="V3" s="335" t="s">
        <v>313</v>
      </c>
      <c r="W3" s="343" t="s">
        <v>314</v>
      </c>
      <c r="X3" s="54" t="s">
        <v>26</v>
      </c>
      <c r="Y3" s="49">
        <f>Teilnehmer!$U$6</f>
        <v>0.25</v>
      </c>
      <c r="Z3" s="55">
        <f>Z2+ROUND($L$4*Y3,0.5)</f>
        <v>2</v>
      </c>
    </row>
    <row r="4" spans="2:27" ht="15.75" customHeight="1">
      <c r="E4" s="8" t="s">
        <v>315</v>
      </c>
      <c r="G4" s="8" t="s">
        <v>328</v>
      </c>
      <c r="H4" s="9" t="s">
        <v>3</v>
      </c>
      <c r="I4" s="10">
        <v>7</v>
      </c>
      <c r="L4" s="11">
        <f>COUNTA(D7:D9)</f>
        <v>3</v>
      </c>
      <c r="M4" s="8" t="s">
        <v>317</v>
      </c>
      <c r="V4" s="335"/>
      <c r="W4" s="343"/>
      <c r="X4" s="56" t="s">
        <v>33</v>
      </c>
      <c r="Y4" s="50">
        <f>Teilnehmer!$U$7</f>
        <v>0.3</v>
      </c>
      <c r="Z4" s="57">
        <f>Z3+ROUND($L$4*Y4,0.5)</f>
        <v>3</v>
      </c>
    </row>
    <row r="5" spans="2:27" ht="15" customHeight="1" thickBot="1">
      <c r="L5" s="15">
        <f>L4-Teilnehmer!P10</f>
        <v>0</v>
      </c>
      <c r="M5" s="15" t="s">
        <v>283</v>
      </c>
      <c r="V5" s="335"/>
      <c r="W5" s="343"/>
      <c r="X5" s="58" t="s">
        <v>39</v>
      </c>
      <c r="Y5" s="59" t="s">
        <v>40</v>
      </c>
      <c r="Z5" s="60"/>
    </row>
    <row r="6" spans="2:27" s="183" customFormat="1" ht="29.25">
      <c r="B6" s="19" t="s">
        <v>318</v>
      </c>
      <c r="C6" s="20" t="s">
        <v>319</v>
      </c>
      <c r="D6" s="21" t="s">
        <v>299</v>
      </c>
      <c r="E6" s="20" t="s">
        <v>4</v>
      </c>
      <c r="F6" s="22" t="s">
        <v>5</v>
      </c>
      <c r="G6" s="20" t="s">
        <v>6</v>
      </c>
      <c r="H6" s="20" t="s">
        <v>7</v>
      </c>
      <c r="I6" s="22" t="s">
        <v>5</v>
      </c>
      <c r="J6" s="20" t="s">
        <v>6</v>
      </c>
      <c r="K6" s="20" t="s">
        <v>8</v>
      </c>
      <c r="L6" s="22" t="s">
        <v>320</v>
      </c>
      <c r="M6" s="22" t="s">
        <v>321</v>
      </c>
      <c r="N6" s="22" t="s">
        <v>322</v>
      </c>
      <c r="O6" s="22" t="s">
        <v>323</v>
      </c>
      <c r="P6" s="22" t="s">
        <v>324</v>
      </c>
      <c r="Q6" s="22" t="s">
        <v>325</v>
      </c>
      <c r="R6" s="236" t="s">
        <v>297</v>
      </c>
      <c r="S6" s="240" t="s">
        <v>326</v>
      </c>
      <c r="T6" s="238" t="s">
        <v>327</v>
      </c>
      <c r="V6" s="335"/>
      <c r="W6" s="343"/>
      <c r="X6" s="204"/>
    </row>
    <row r="7" spans="2:27" s="197" customFormat="1" ht="27.75" customHeight="1">
      <c r="B7" s="188">
        <v>1</v>
      </c>
      <c r="C7" s="190" t="str">
        <f>IF(ISBLANK(D7),"",IF(B7&lt;=$Z$2,"G",IF(AND(B7&gt;$Z$2,B7&lt;=$Z$3),"S",IF(AND(B7&gt;$Z$3,B7&lt;=$Z$4),"B","E"))))</f>
        <v>G</v>
      </c>
      <c r="D7" s="205">
        <v>51</v>
      </c>
      <c r="E7" s="181" t="str">
        <f>IF(ISBLANK($D7),"",VLOOKUP($D7,Teilnehmer!$B$4:$K$199,4,0))</f>
        <v>Schützmeier Stefan</v>
      </c>
      <c r="F7" s="286">
        <f>IF(ISBLANK($D7),"",VLOOKUP($D7,Teilnehmer!$B$4:$K$199,5,0))</f>
        <v>16634</v>
      </c>
      <c r="G7" s="287" t="str">
        <f>IF(ISBLANK($D7),"",VLOOKUP($D7,Teilnehmer!$B$4:$K$199,6,0))</f>
        <v>Becker &amp; Bosch Racing Team</v>
      </c>
      <c r="H7" s="181" t="str">
        <f>IF(ISBLANK($D7),"",VLOOKUP($D7,Teilnehmer!$B$4:$K$199,7,0))</f>
        <v>Ritter Susann</v>
      </c>
      <c r="I7" s="286">
        <f>IF(ISBLANK($D7),"",VLOOKUP($D7,Teilnehmer!$B$4:$K$199,8,0))</f>
        <v>16724</v>
      </c>
      <c r="J7" s="287" t="str">
        <f>IF(ISBLANK($D7),"",VLOOKUP($D7,Teilnehmer!$B$4:$K$199,9,0))</f>
        <v>Becker &amp; Bosch Racing Team</v>
      </c>
      <c r="K7" s="206" t="str">
        <f>IF(ISBLANK($D7),"",VLOOKUP($D7,Teilnehmer!$B$4:$K$199,10,0))</f>
        <v>Suzuki Swift GTi</v>
      </c>
      <c r="L7" s="207">
        <f>IF(ISBLANK($D7),"",VLOOKUP($D7,'Ausgabe Zeiten'!M:AV,4,0))</f>
        <v>3.9116898148148227E-3</v>
      </c>
      <c r="M7" s="207">
        <f>IF(ISBLANK($D7),"",VLOOKUP($D7,'Ausgabe Zeiten'!M:AV,9,0))</f>
        <v>4.330902777777812E-3</v>
      </c>
      <c r="N7" s="207">
        <f>IF(ISBLANK($D7),"",VLOOKUP($D7,'Ausgabe Zeiten'!M:AV,14,0))</f>
        <v>3.8093749999998927E-3</v>
      </c>
      <c r="O7" s="207">
        <f>IF(ISBLANK($D7),"",VLOOKUP($D7,'Ausgabe Zeiten'!M:AV,19,0))</f>
        <v>4.2972222222222856E-3</v>
      </c>
      <c r="P7" s="207">
        <f>IF(ISBLANK($D7),"",VLOOKUP($D7,'Ausgabe Zeiten'!M:AV,24,0))</f>
        <v>3.8035879629630953E-3</v>
      </c>
      <c r="Q7" s="207">
        <f>IF(ISBLANK($D7),"",VLOOKUP($D7,'Ausgabe Zeiten'!M:AV,29,0))</f>
        <v>0</v>
      </c>
      <c r="R7" s="237">
        <f>IF(ISBLANK($D7),"",VLOOKUP($D7,'Ausgabe Zeiten'!M:AV,35,0))</f>
        <v>0</v>
      </c>
      <c r="S7" s="241">
        <f>IF(ISBLANK($D7),"",VLOOKUP($D7,'Ausgabe Zeiten'!M:AV,36,0))</f>
        <v>2.0152777777777908E-2</v>
      </c>
      <c r="T7" s="239">
        <f>IF(ISBLANK(D7),"",ROUND((23-20*(B7-1)/$L$4),2))</f>
        <v>23</v>
      </c>
      <c r="V7" s="208" t="str">
        <f t="shared" ref="V7:V9" si="0">IF(ISBLANK($D7),"",IF(S7-SUM(L7:R7)=0,"ok","X"))</f>
        <v>ok</v>
      </c>
      <c r="W7" s="198" t="str">
        <f t="shared" ref="W7:W9" si="1">IF(ISBLANK($D7),"",IF(S9&gt;S7,"ok","Sortierung A bis Z"))</f>
        <v>ok</v>
      </c>
      <c r="X7" s="208"/>
    </row>
    <row r="8" spans="2:27" s="197" customFormat="1" ht="27.75" customHeight="1">
      <c r="B8" s="188">
        <f>IF(ISBLANK(D8),"",B7+1)</f>
        <v>2</v>
      </c>
      <c r="C8" s="190" t="str">
        <f>IF(ISBLANK(D8),"",IF(B8&lt;=$Z$2,"G",IF(AND(B8&gt;$Z$2,B8&lt;=$Z$3),"S",IF(AND(B8&gt;$Z$3,B8&lt;=$Z$4),"B","E"))))</f>
        <v>S</v>
      </c>
      <c r="D8" s="205">
        <v>52</v>
      </c>
      <c r="E8" s="181" t="str">
        <f>IF(ISBLANK($D8),"",VLOOKUP($D8,Teilnehmer!$B$4:$K$199,4,0))</f>
        <v>Thiel Rainer</v>
      </c>
      <c r="F8" s="286">
        <f>IF(ISBLANK($D8),"",VLOOKUP($D8,Teilnehmer!$B$4:$K$199,5,0))</f>
        <v>12291</v>
      </c>
      <c r="G8" s="287" t="str">
        <f>IF(ISBLANK($D8),"",VLOOKUP($D8,Teilnehmer!$B$4:$K$199,6,0))</f>
        <v>MSC Jura</v>
      </c>
      <c r="H8" s="181" t="str">
        <f>IF(ISBLANK($D8),"",VLOOKUP($D8,Teilnehmer!$B$4:$K$199,7,0))</f>
        <v>Thiel Daniel</v>
      </c>
      <c r="I8" s="286">
        <f>IF(ISBLANK($D8),"",VLOOKUP($D8,Teilnehmer!$B$4:$K$199,8,0))</f>
        <v>15785</v>
      </c>
      <c r="J8" s="287" t="str">
        <f>IF(ISBLANK($D8),"",VLOOKUP($D8,Teilnehmer!$B$4:$K$199,9,0))</f>
        <v>-</v>
      </c>
      <c r="K8" s="206" t="str">
        <f>IF(ISBLANK($D8),"",VLOOKUP($D8,Teilnehmer!$B$4:$K$199,10,0))</f>
        <v>FIAT Panda</v>
      </c>
      <c r="L8" s="207">
        <f>IF(ISBLANK($D8),"",VLOOKUP($D8,'Ausgabe Zeiten'!M:AV,4,0))</f>
        <v>4.2812500000000142E-3</v>
      </c>
      <c r="M8" s="207">
        <f>IF(ISBLANK($D8),"",VLOOKUP($D8,'Ausgabe Zeiten'!M:AV,9,0))</f>
        <v>4.5872685185184281E-3</v>
      </c>
      <c r="N8" s="207">
        <f>IF(ISBLANK($D8),"",VLOOKUP($D8,'Ausgabe Zeiten'!M:AV,14,0))</f>
        <v>4.2402777777778011E-3</v>
      </c>
      <c r="O8" s="207">
        <f>IF(ISBLANK($D8),"",VLOOKUP($D8,'Ausgabe Zeiten'!M:AV,19,0))</f>
        <v>1.0416666666666666E-2</v>
      </c>
      <c r="P8" s="207">
        <f>IF(ISBLANK($D8),"",VLOOKUP($D8,'Ausgabe Zeiten'!M:AV,24,0))</f>
        <v>1.0416666666666666E-2</v>
      </c>
      <c r="Q8" s="207">
        <f>IF(ISBLANK($D8),"",VLOOKUP($D8,'Ausgabe Zeiten'!M:AV,29,0))</f>
        <v>0</v>
      </c>
      <c r="R8" s="237">
        <f>IF(ISBLANK($D8),"",VLOOKUP($D8,'Ausgabe Zeiten'!M:AV,35,0))</f>
        <v>0</v>
      </c>
      <c r="S8" s="241">
        <f>IF(ISBLANK($D8),"",VLOOKUP($D8,'Ausgabe Zeiten'!M:AV,36,0))</f>
        <v>3.3942129629629572E-2</v>
      </c>
      <c r="T8" s="239">
        <f>IF(ISBLANK(D8),"",ROUND((23-20*(B8-1)/$L$4),2))</f>
        <v>16.329999999999998</v>
      </c>
      <c r="V8" s="208" t="str">
        <f t="shared" si="0"/>
        <v>ok</v>
      </c>
      <c r="W8" s="198" t="str">
        <f t="shared" si="1"/>
        <v>Sortierung A bis Z</v>
      </c>
      <c r="X8" s="208"/>
    </row>
    <row r="9" spans="2:27" s="197" customFormat="1" ht="27.75" customHeight="1">
      <c r="B9" s="188">
        <f>IF(ISBLANK(D9),"",B8+1)</f>
        <v>3</v>
      </c>
      <c r="C9" s="190" t="str">
        <f>IF(ISBLANK(D9),"",IF(B9&lt;=$Z$2,"G",IF(AND(B9&gt;$Z$2,B9&lt;=$Z$3),"S",IF(AND(B9&gt;$Z$3,B9&lt;=$Z$4),"B","E"))))</f>
        <v>B</v>
      </c>
      <c r="D9" s="205">
        <v>53</v>
      </c>
      <c r="E9" s="181" t="str">
        <f>IF(ISBLANK($D9),"",VLOOKUP($D9,Teilnehmer!$B$4:$K$199,4,0))</f>
        <v>Sarkowski Alfred</v>
      </c>
      <c r="F9" s="286">
        <f>IF(ISBLANK($D9),"",VLOOKUP($D9,Teilnehmer!$B$4:$K$199,5,0))</f>
        <v>16011</v>
      </c>
      <c r="G9" s="287" t="str">
        <f>IF(ISBLANK($D9),"",VLOOKUP($D9,Teilnehmer!$B$4:$K$199,6,0))</f>
        <v>MSC Mamming</v>
      </c>
      <c r="H9" s="181" t="str">
        <f>IF(ISBLANK($D9),"",VLOOKUP($D9,Teilnehmer!$B$4:$K$199,7,0))</f>
        <v>Sollinger Christoph</v>
      </c>
      <c r="I9" s="286">
        <f>IF(ISBLANK($D9),"",VLOOKUP($D9,Teilnehmer!$B$4:$K$199,8,0))</f>
        <v>16631</v>
      </c>
      <c r="J9" s="287" t="str">
        <f>IF(ISBLANK($D9),"",VLOOKUP($D9,Teilnehmer!$B$4:$K$199,9,0))</f>
        <v>Selzer Team Mirskofen</v>
      </c>
      <c r="K9" s="206" t="str">
        <f>IF(ISBLANK($D9),"",VLOOKUP($D9,Teilnehmer!$B$4:$K$199,10,0))</f>
        <v>VW Polo 86 c</v>
      </c>
      <c r="L9" s="207">
        <f>IF(ISBLANK($D9),"",VLOOKUP($D9,'Ausgabe Zeiten'!M:AV,4,0))</f>
        <v>4.4184027777777746E-3</v>
      </c>
      <c r="M9" s="207">
        <f>IF(ISBLANK($D9),"",VLOOKUP($D9,'Ausgabe Zeiten'!M:AV,9,0))</f>
        <v>4.8039351851851819E-3</v>
      </c>
      <c r="N9" s="207">
        <f>IF(ISBLANK($D9),"",VLOOKUP($D9,'Ausgabe Zeiten'!M:AV,14,0))</f>
        <v>4.3644675925925691E-3</v>
      </c>
      <c r="O9" s="207">
        <f>IF(ISBLANK($D9),"",VLOOKUP($D9,'Ausgabe Zeiten'!M:AV,19,0))</f>
        <v>1.0416666666666666E-2</v>
      </c>
      <c r="P9" s="207" t="str">
        <f>IF(ISBLANK($D9),"",VLOOKUP($D9,'Ausgabe Zeiten'!M:AV,24,0))</f>
        <v>ADW</v>
      </c>
      <c r="Q9" s="207">
        <f>IF(ISBLANK($D9),"",VLOOKUP($D9,'Ausgabe Zeiten'!M:AV,29,0))</f>
        <v>0</v>
      </c>
      <c r="R9" s="237">
        <f>IF(ISBLANK($D9),"",VLOOKUP($D9,'Ausgabe Zeiten'!M:AV,35,0))</f>
        <v>0</v>
      </c>
      <c r="S9" s="241" t="str">
        <f>IF(ISBLANK($D9),"",VLOOKUP($D9,'Ausgabe Zeiten'!M:AV,36,0))</f>
        <v>ADW</v>
      </c>
      <c r="T9" s="239">
        <v>0</v>
      </c>
      <c r="V9" s="208" t="e">
        <f t="shared" si="0"/>
        <v>#VALUE!</v>
      </c>
      <c r="W9" s="198" t="str">
        <f t="shared" si="1"/>
        <v>Sortierung A bis Z</v>
      </c>
      <c r="X9" s="208"/>
    </row>
    <row r="10" spans="2:27" s="197" customFormat="1">
      <c r="B10" s="209"/>
      <c r="C10" s="210"/>
      <c r="W10" s="211"/>
    </row>
    <row r="11" spans="2:27" s="197" customFormat="1">
      <c r="B11" s="209"/>
      <c r="C11" s="210"/>
      <c r="W11" s="211"/>
    </row>
    <row r="12" spans="2:27" s="197" customFormat="1">
      <c r="B12" s="209"/>
      <c r="C12" s="210"/>
      <c r="W12" s="211"/>
    </row>
    <row r="13" spans="2:27" s="197" customFormat="1">
      <c r="B13" s="209"/>
      <c r="C13" s="210"/>
      <c r="W13" s="211"/>
    </row>
    <row r="14" spans="2:27" s="197" customFormat="1">
      <c r="B14" s="209"/>
      <c r="C14" s="210"/>
      <c r="W14" s="211"/>
    </row>
    <row r="15" spans="2:27" s="197" customFormat="1">
      <c r="B15" s="209"/>
      <c r="C15" s="210"/>
      <c r="W15" s="211"/>
    </row>
    <row r="16" spans="2:27" s="197" customFormat="1">
      <c r="B16" s="209"/>
      <c r="C16" s="210"/>
      <c r="W16" s="211"/>
    </row>
    <row r="17" spans="2:23" s="13" customFormat="1">
      <c r="B17" s="12"/>
      <c r="C17" s="14"/>
      <c r="W17" s="149"/>
    </row>
    <row r="18" spans="2:23" s="13" customFormat="1">
      <c r="B18" s="12"/>
      <c r="C18" s="14"/>
      <c r="W18" s="149"/>
    </row>
    <row r="19" spans="2:23" s="13" customFormat="1">
      <c r="B19" s="12"/>
      <c r="C19" s="14"/>
      <c r="W19" s="149"/>
    </row>
    <row r="20" spans="2:23" s="13" customFormat="1">
      <c r="B20" s="12"/>
      <c r="C20" s="14"/>
      <c r="W20" s="149"/>
    </row>
    <row r="21" spans="2:23" s="13" customFormat="1">
      <c r="B21" s="12"/>
      <c r="C21" s="14"/>
      <c r="W21" s="149"/>
    </row>
    <row r="22" spans="2:23" s="13" customFormat="1">
      <c r="B22" s="12"/>
      <c r="C22" s="14"/>
      <c r="W22" s="149"/>
    </row>
    <row r="23" spans="2:23" s="13" customFormat="1">
      <c r="B23" s="12"/>
      <c r="C23" s="14"/>
      <c r="W23" s="149"/>
    </row>
    <row r="24" spans="2:23" s="13" customFormat="1">
      <c r="B24" s="12"/>
      <c r="C24" s="14"/>
      <c r="W24" s="149"/>
    </row>
    <row r="25" spans="2:23" s="13" customFormat="1">
      <c r="B25" s="12"/>
      <c r="C25" s="14"/>
      <c r="W25" s="149"/>
    </row>
    <row r="26" spans="2:23" s="13" customFormat="1">
      <c r="B26" s="12"/>
      <c r="C26" s="14"/>
      <c r="W26" s="149"/>
    </row>
    <row r="27" spans="2:23" s="13" customFormat="1">
      <c r="B27" s="12"/>
      <c r="C27" s="14"/>
      <c r="W27" s="149"/>
    </row>
    <row r="28" spans="2:23" s="13" customFormat="1">
      <c r="B28" s="12"/>
      <c r="C28" s="14"/>
      <c r="W28" s="149"/>
    </row>
    <row r="29" spans="2:23" s="13" customFormat="1">
      <c r="B29" s="12"/>
      <c r="C29" s="14"/>
      <c r="W29" s="149"/>
    </row>
    <row r="30" spans="2:23" s="13" customFormat="1">
      <c r="B30" s="12"/>
      <c r="C30" s="14"/>
      <c r="W30" s="149"/>
    </row>
  </sheetData>
  <autoFilter ref="C6:S6" xr:uid="{7B828EDB-901C-404C-98B5-E64A905CC40B}">
    <sortState xmlns:xlrd2="http://schemas.microsoft.com/office/spreadsheetml/2017/richdata2" ref="C7:S9">
      <sortCondition ref="S6"/>
    </sortState>
  </autoFilter>
  <mergeCells count="2">
    <mergeCell ref="V3:V6"/>
    <mergeCell ref="W3:W6"/>
  </mergeCells>
  <conditionalFormatting sqref="D7:D9">
    <cfRule type="duplicateValues" dxfId="53" priority="657"/>
  </conditionalFormatting>
  <conditionalFormatting sqref="L5">
    <cfRule type="cellIs" dxfId="52" priority="1" operator="lessThan">
      <formula>0</formula>
    </cfRule>
    <cfRule type="cellIs" dxfId="51" priority="2" operator="greaterThan">
      <formula>0</formula>
    </cfRule>
  </conditionalFormatting>
  <conditionalFormatting sqref="V1:V3 V7:V1048576">
    <cfRule type="cellIs" dxfId="50" priority="4" operator="equal">
      <formula>"X"</formula>
    </cfRule>
  </conditionalFormatting>
  <conditionalFormatting sqref="W1:W3 W7:W1048576">
    <cfRule type="cellIs" dxfId="49" priority="3" operator="equal">
      <formula>"Sortierung A bis Z"</formula>
    </cfRule>
  </conditionalFormatting>
  <pageMargins left="0.70866141732283472" right="0.70866141732283472" top="0.78740157480314965" bottom="0.78740157480314965" header="0.31496062992125984" footer="0.31496062992125984"/>
  <pageSetup paperSize="9" scale="64"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C2098-611F-420D-9E92-C5E031C27E66}">
  <sheetPr>
    <tabColor theme="7"/>
    <pageSetUpPr fitToPage="1"/>
  </sheetPr>
  <dimension ref="B1:AA38"/>
  <sheetViews>
    <sheetView showGridLines="0" zoomScaleNormal="100" zoomScaleSheetLayoutView="115" workbookViewId="0">
      <pane xSplit="5" ySplit="6" topLeftCell="F7" activePane="bottomRight" state="frozen"/>
      <selection pane="bottomRight" activeCell="B1" sqref="B1:T17"/>
      <selection pane="bottomLeft" activeCell="J24" sqref="J24"/>
      <selection pane="topRight" activeCell="J24" sqref="J24"/>
    </sheetView>
  </sheetViews>
  <sheetFormatPr defaultColWidth="11.42578125" defaultRowHeight="14.25"/>
  <cols>
    <col min="1" max="1" width="2.7109375" style="5" customWidth="1"/>
    <col min="2" max="2" width="3.7109375" style="3" customWidth="1"/>
    <col min="3" max="3" width="3.28515625" style="6" customWidth="1"/>
    <col min="4" max="4" width="4.28515625" style="5" customWidth="1"/>
    <col min="5" max="5" width="16.42578125" style="13" bestFit="1" customWidth="1"/>
    <col min="6" max="6" width="6.7109375" style="5" customWidth="1"/>
    <col min="7" max="7" width="11.7109375" style="5" customWidth="1"/>
    <col min="8" max="8" width="15.7109375" style="13" customWidth="1"/>
    <col min="9" max="9" width="6.7109375" style="5" customWidth="1"/>
    <col min="10" max="10" width="11.7109375" style="5" customWidth="1"/>
    <col min="11" max="11" width="9.7109375" style="5" customWidth="1"/>
    <col min="12" max="12" width="12.28515625" style="5" bestFit="1" customWidth="1"/>
    <col min="13" max="13" width="13.5703125" style="5" bestFit="1" customWidth="1"/>
    <col min="14" max="15" width="12.28515625" style="5" bestFit="1" customWidth="1"/>
    <col min="16" max="16" width="11.85546875" style="5" customWidth="1"/>
    <col min="17" max="17" width="11.85546875" style="5" hidden="1" customWidth="1"/>
    <col min="18" max="18" width="12.5703125" style="5" bestFit="1" customWidth="1"/>
    <col min="19" max="19" width="15.5703125" style="5" bestFit="1" customWidth="1"/>
    <col min="20" max="20" width="11.5703125" style="5" bestFit="1" customWidth="1"/>
    <col min="21" max="21" width="2.42578125" style="5" bestFit="1" customWidth="1"/>
    <col min="22" max="22" width="6.28515625" style="5" bestFit="1" customWidth="1"/>
    <col min="23" max="23" width="13.7109375" style="148" bestFit="1" customWidth="1"/>
    <col min="24" max="24" width="3" style="5" bestFit="1" customWidth="1"/>
    <col min="25" max="25" width="9.28515625" style="5" bestFit="1" customWidth="1"/>
    <col min="26" max="26" width="9.28515625" style="5" customWidth="1"/>
    <col min="27" max="16384" width="11.42578125" style="5"/>
  </cols>
  <sheetData>
    <row r="1" spans="2:27" s="7" customFormat="1" ht="20.25">
      <c r="B1" s="18" t="str">
        <f>Teilnehmer!B1</f>
        <v>20. Fürst von Wrede Rallye 2024</v>
      </c>
      <c r="C1" s="18"/>
      <c r="D1" s="18"/>
      <c r="E1" s="18"/>
      <c r="F1" s="18"/>
      <c r="G1" s="18"/>
      <c r="H1" s="18"/>
      <c r="I1" s="18"/>
      <c r="J1" s="18"/>
      <c r="K1" s="18"/>
      <c r="L1" s="18"/>
      <c r="M1" s="18"/>
      <c r="N1" s="18"/>
      <c r="O1" s="18"/>
      <c r="P1" s="18"/>
      <c r="Q1" s="18"/>
      <c r="R1" s="18"/>
      <c r="S1" s="18"/>
      <c r="W1" s="147"/>
      <c r="Y1" s="62"/>
      <c r="Z1" s="61" t="s">
        <v>312</v>
      </c>
      <c r="AA1" s="101" t="s">
        <v>58</v>
      </c>
    </row>
    <row r="2" spans="2:27" s="7" customFormat="1" ht="14.1" customHeight="1">
      <c r="B2" s="37"/>
      <c r="C2" s="37"/>
      <c r="D2" s="37"/>
      <c r="E2" s="37"/>
      <c r="F2" s="37"/>
      <c r="G2" s="37"/>
      <c r="H2" s="37"/>
      <c r="I2" s="37"/>
      <c r="J2" s="37"/>
      <c r="K2" s="37"/>
      <c r="L2" s="37"/>
      <c r="M2" s="37"/>
      <c r="N2" s="37"/>
      <c r="O2" s="37"/>
      <c r="P2" s="37"/>
      <c r="Q2" s="37"/>
      <c r="R2" s="37"/>
      <c r="S2" s="37"/>
      <c r="W2" s="147"/>
      <c r="X2" s="51" t="s">
        <v>18</v>
      </c>
      <c r="Y2" s="52">
        <f>Teilnehmer!$U$5</f>
        <v>0.2</v>
      </c>
      <c r="Z2" s="53">
        <f>ROUND($L$4*Y2,0.5)</f>
        <v>2</v>
      </c>
    </row>
    <row r="3" spans="2:27" ht="15" customHeight="1">
      <c r="V3" s="335" t="s">
        <v>313</v>
      </c>
      <c r="W3" s="343" t="s">
        <v>314</v>
      </c>
      <c r="X3" s="54" t="s">
        <v>26</v>
      </c>
      <c r="Y3" s="49">
        <f>Teilnehmer!$U$6</f>
        <v>0.25</v>
      </c>
      <c r="Z3" s="55">
        <f>Z2+ROUND($L$4*Y3,0.5)</f>
        <v>5</v>
      </c>
    </row>
    <row r="4" spans="2:27" ht="15.75" customHeight="1">
      <c r="E4" s="8" t="s">
        <v>315</v>
      </c>
      <c r="G4" s="8" t="s">
        <v>328</v>
      </c>
      <c r="H4" s="9" t="s">
        <v>3</v>
      </c>
      <c r="I4" s="10">
        <v>8</v>
      </c>
      <c r="L4" s="11">
        <f>COUNTA(D7:D17)</f>
        <v>11</v>
      </c>
      <c r="M4" s="8" t="s">
        <v>317</v>
      </c>
      <c r="V4" s="335"/>
      <c r="W4" s="343"/>
      <c r="X4" s="56" t="s">
        <v>33</v>
      </c>
      <c r="Y4" s="50">
        <f>Teilnehmer!$U$7</f>
        <v>0.3</v>
      </c>
      <c r="Z4" s="57">
        <f>Z3+ROUND($L$4*Y4,0.5)</f>
        <v>8</v>
      </c>
    </row>
    <row r="5" spans="2:27" ht="15" customHeight="1" thickBot="1">
      <c r="L5" s="15">
        <f>L4-Teilnehmer!P11</f>
        <v>0</v>
      </c>
      <c r="M5" s="15" t="s">
        <v>283</v>
      </c>
      <c r="V5" s="335"/>
      <c r="W5" s="343"/>
      <c r="X5" s="58" t="s">
        <v>39</v>
      </c>
      <c r="Y5" s="59" t="s">
        <v>40</v>
      </c>
      <c r="Z5" s="60"/>
    </row>
    <row r="6" spans="2:27" s="183" customFormat="1" ht="29.25">
      <c r="B6" s="19" t="s">
        <v>318</v>
      </c>
      <c r="C6" s="20" t="s">
        <v>319</v>
      </c>
      <c r="D6" s="21" t="s">
        <v>299</v>
      </c>
      <c r="E6" s="20" t="s">
        <v>4</v>
      </c>
      <c r="F6" s="22" t="s">
        <v>5</v>
      </c>
      <c r="G6" s="20" t="s">
        <v>6</v>
      </c>
      <c r="H6" s="20" t="s">
        <v>7</v>
      </c>
      <c r="I6" s="22" t="s">
        <v>5</v>
      </c>
      <c r="J6" s="20" t="s">
        <v>6</v>
      </c>
      <c r="K6" s="20" t="s">
        <v>8</v>
      </c>
      <c r="L6" s="22" t="s">
        <v>320</v>
      </c>
      <c r="M6" s="22" t="s">
        <v>321</v>
      </c>
      <c r="N6" s="22" t="s">
        <v>322</v>
      </c>
      <c r="O6" s="22" t="s">
        <v>323</v>
      </c>
      <c r="P6" s="22" t="s">
        <v>324</v>
      </c>
      <c r="Q6" s="22" t="s">
        <v>325</v>
      </c>
      <c r="R6" s="236" t="s">
        <v>297</v>
      </c>
      <c r="S6" s="240" t="s">
        <v>326</v>
      </c>
      <c r="T6" s="238" t="s">
        <v>327</v>
      </c>
      <c r="V6" s="335"/>
      <c r="W6" s="343"/>
      <c r="X6" s="204"/>
    </row>
    <row r="7" spans="2:27" s="197" customFormat="1" ht="27.75" customHeight="1">
      <c r="B7" s="188">
        <v>1</v>
      </c>
      <c r="C7" s="190" t="str">
        <f>IF(ISBLANK(D7),"",IF(B7&lt;=$Z$2,"G",IF(AND(B7&gt;$Z$2,B7&lt;=$Z$3),"S",IF(AND(B7&gt;$Z$3,B7&lt;=$Z$4),"B","E"))))</f>
        <v>G</v>
      </c>
      <c r="D7" s="205">
        <v>44</v>
      </c>
      <c r="E7" s="181" t="str">
        <f>IF(ISBLANK($D7),"",VLOOKUP($D7,Teilnehmer!$B$4:$K$199,4,0))</f>
        <v>Michel Torsten</v>
      </c>
      <c r="F7" s="286">
        <f>IF(ISBLANK($D7),"",VLOOKUP($D7,Teilnehmer!$B$4:$K$199,5,0))</f>
        <v>14855</v>
      </c>
      <c r="G7" s="287" t="str">
        <f>IF(ISBLANK($D7),"",VLOOKUP($D7,Teilnehmer!$B$4:$K$199,6,0))</f>
        <v>Chaosteam Motorsport</v>
      </c>
      <c r="H7" s="181" t="str">
        <f>IF(ISBLANK($D7),"",VLOOKUP($D7,Teilnehmer!$B$4:$K$199,7,0))</f>
        <v>Diehm Samantha</v>
      </c>
      <c r="I7" s="286">
        <f>IF(ISBLANK($D7),"",VLOOKUP($D7,Teilnehmer!$B$4:$K$199,8,0))</f>
        <v>15622</v>
      </c>
      <c r="J7" s="287" t="str">
        <f>IF(ISBLANK($D7),"",VLOOKUP($D7,Teilnehmer!$B$4:$K$199,9,0))</f>
        <v>Chaosteam Motorsport</v>
      </c>
      <c r="K7" s="206" t="str">
        <f>IF(ISBLANK($D7),"",VLOOKUP($D7,Teilnehmer!$B$4:$K$199,10,0))</f>
        <v>Ford Fiesta Rally 4</v>
      </c>
      <c r="L7" s="207">
        <f>IF(ISBLANK($D7),"",VLOOKUP($D7,'Ausgabe Zeiten'!M:AV,4,0))</f>
        <v>3.6276620370370161E-3</v>
      </c>
      <c r="M7" s="207">
        <f>IF(ISBLANK($D7),"",VLOOKUP($D7,'Ausgabe Zeiten'!M:AV,9,0))</f>
        <v>4.3420138888888848E-3</v>
      </c>
      <c r="N7" s="207">
        <f>IF(ISBLANK($D7),"",VLOOKUP($D7,'Ausgabe Zeiten'!M:AV,14,0))</f>
        <v>3.6292824074074526E-3</v>
      </c>
      <c r="O7" s="207">
        <f>IF(ISBLANK($D7),"",VLOOKUP($D7,'Ausgabe Zeiten'!M:AV,19,0))</f>
        <v>4.2653935185185121E-3</v>
      </c>
      <c r="P7" s="207">
        <f>IF(ISBLANK($D7),"",VLOOKUP($D7,'Ausgabe Zeiten'!M:AV,24,0))</f>
        <v>3.5636574074073835E-3</v>
      </c>
      <c r="Q7" s="207">
        <f>IF(ISBLANK($D7),"",VLOOKUP($D7,'Ausgabe Zeiten'!M:AV,29,0))</f>
        <v>0</v>
      </c>
      <c r="R7" s="237">
        <f>IF(ISBLANK($D7),"",VLOOKUP($D7,'Ausgabe Zeiten'!M:AV,35,0))</f>
        <v>0</v>
      </c>
      <c r="S7" s="241">
        <f>IF(ISBLANK($D7),"",VLOOKUP($D7,'Ausgabe Zeiten'!M:AV,36,0))</f>
        <v>1.9428009259259249E-2</v>
      </c>
      <c r="T7" s="239">
        <f>IF(ISBLANK(D7),"",ROUND((23-20*(B7-1)/$L$4),2))</f>
        <v>23</v>
      </c>
      <c r="V7" s="208" t="str">
        <f t="shared" ref="V7:V17" si="0">IF(ISBLANK($D7),"",IF(S7-SUM(L7:R7)=0,"ok","X"))</f>
        <v>ok</v>
      </c>
      <c r="W7" s="198" t="str">
        <f t="shared" ref="W7:W8" si="1">IF(ISBLANK($D7),"",IF(S8&gt;S7,"ok","Sortierung A bis Z"))</f>
        <v>ok</v>
      </c>
      <c r="X7" s="208"/>
    </row>
    <row r="8" spans="2:27" s="197" customFormat="1" ht="27.75" customHeight="1">
      <c r="B8" s="188">
        <f t="shared" ref="B8:B9" si="2">IF(ISBLANK(D8),"",B7+1)</f>
        <v>2</v>
      </c>
      <c r="C8" s="190" t="str">
        <f>IF(ISBLANK(D8),"",IF(B8&lt;=$Z$2,"G",IF(AND(B8&gt;$Z$2,B8&lt;=$Z$3),"S",IF(AND(B8&gt;$Z$3,B8&lt;=$Z$4),"B","E"))))</f>
        <v>G</v>
      </c>
      <c r="D8" s="205">
        <v>39</v>
      </c>
      <c r="E8" s="181" t="str">
        <f>IF(ISBLANK($D8),"",VLOOKUP($D8,Teilnehmer!$B$4:$K$199,4,0))</f>
        <v>Bruchhäuser Gil</v>
      </c>
      <c r="F8" s="286">
        <f>IF(ISBLANK($D8),"",VLOOKUP($D8,Teilnehmer!$B$4:$K$199,5,0))</f>
        <v>16444</v>
      </c>
      <c r="G8" s="287" t="str">
        <f>IF(ISBLANK($D8),"",VLOOKUP($D8,Teilnehmer!$B$4:$K$199,6,0))</f>
        <v>RG Ga(a)s</v>
      </c>
      <c r="H8" s="181" t="str">
        <f>IF(ISBLANK($D8),"",VLOOKUP($D8,Teilnehmer!$B$4:$K$199,7,0))</f>
        <v>Kölsch Björn</v>
      </c>
      <c r="I8" s="286">
        <f>IF(ISBLANK($D8),"",VLOOKUP($D8,Teilnehmer!$B$4:$K$199,8,0))</f>
        <v>16445</v>
      </c>
      <c r="J8" s="287" t="str">
        <f>IF(ISBLANK($D8),"",VLOOKUP($D8,Teilnehmer!$B$4:$K$199,9,0))</f>
        <v>-</v>
      </c>
      <c r="K8" s="206" t="str">
        <f>IF(ISBLANK($D8),"",VLOOKUP($D8,Teilnehmer!$B$4:$K$199,10,0))</f>
        <v>Citroën C2 R2 Max</v>
      </c>
      <c r="L8" s="207">
        <f>IF(ISBLANK($D8),"",VLOOKUP($D8,'Ausgabe Zeiten'!M:AV,4,0))</f>
        <v>3.8001157407407948E-3</v>
      </c>
      <c r="M8" s="207">
        <f>IF(ISBLANK($D8),"",VLOOKUP($D8,'Ausgabe Zeiten'!M:AV,9,0))</f>
        <v>4.3645833333333384E-3</v>
      </c>
      <c r="N8" s="207">
        <f>IF(ISBLANK($D8),"",VLOOKUP($D8,'Ausgabe Zeiten'!M:AV,14,0))</f>
        <v>3.7623842592592327E-3</v>
      </c>
      <c r="O8" s="207">
        <f>IF(ISBLANK($D8),"",VLOOKUP($D8,'Ausgabe Zeiten'!M:AV,19,0))</f>
        <v>4.155092592592613E-3</v>
      </c>
      <c r="P8" s="207">
        <f>IF(ISBLANK($D8),"",VLOOKUP($D8,'Ausgabe Zeiten'!M:AV,24,0))</f>
        <v>3.6809027777777725E-3</v>
      </c>
      <c r="Q8" s="207">
        <f>IF(ISBLANK($D8),"",VLOOKUP($D8,'Ausgabe Zeiten'!M:AV,29,0))</f>
        <v>0</v>
      </c>
      <c r="R8" s="237">
        <f>IF(ISBLANK($D8),"",VLOOKUP($D8,'Ausgabe Zeiten'!M:AV,35,0))</f>
        <v>0</v>
      </c>
      <c r="S8" s="241">
        <f>IF(ISBLANK($D8),"",VLOOKUP($D8,'Ausgabe Zeiten'!M:AV,36,0))</f>
        <v>1.9763078703703751E-2</v>
      </c>
      <c r="T8" s="239">
        <f>IF(ISBLANK(D8),"",ROUND((23-20*(B8-1)/$L$4),2))</f>
        <v>21.18</v>
      </c>
      <c r="V8" s="208" t="str">
        <f t="shared" si="0"/>
        <v>ok</v>
      </c>
      <c r="W8" s="198" t="str">
        <f t="shared" si="1"/>
        <v>ok</v>
      </c>
      <c r="X8" s="208"/>
    </row>
    <row r="9" spans="2:27" s="197" customFormat="1" ht="27.75" customHeight="1">
      <c r="B9" s="188">
        <f t="shared" si="2"/>
        <v>3</v>
      </c>
      <c r="C9" s="190" t="str">
        <f>IF(ISBLANK(D9),"",IF(B9&lt;=$Z$2,"G",IF(AND(B9&gt;$Z$2,B9&lt;=$Z$3),"S",IF(AND(B9&gt;$Z$3,B9&lt;=$Z$4),"B","E"))))</f>
        <v>S</v>
      </c>
      <c r="D9" s="205">
        <v>48</v>
      </c>
      <c r="E9" s="181" t="str">
        <f>IF(ISBLANK($D9),"",VLOOKUP($D9,Teilnehmer!$B$4:$K$199,4,0))</f>
        <v>Griesdorn Sebastian</v>
      </c>
      <c r="F9" s="286">
        <f>IF(ISBLANK($D9),"",VLOOKUP($D9,Teilnehmer!$B$4:$K$199,5,0))</f>
        <v>15626</v>
      </c>
      <c r="G9" s="287" t="str">
        <f>IF(ISBLANK($D9),"",VLOOKUP($D9,Teilnehmer!$B$4:$K$199,6,0))</f>
        <v>BG Rallyesport</v>
      </c>
      <c r="H9" s="181" t="str">
        <f>IF(ISBLANK($D9),"",VLOOKUP($D9,Teilnehmer!$B$4:$K$199,7,0))</f>
        <v>Bitsch Marco</v>
      </c>
      <c r="I9" s="286">
        <f>IF(ISBLANK($D9),"",VLOOKUP($D9,Teilnehmer!$B$4:$K$199,8,0))</f>
        <v>16561</v>
      </c>
      <c r="J9" s="287" t="str">
        <f>IF(ISBLANK($D9),"",VLOOKUP($D9,Teilnehmer!$B$4:$K$199,9,0))</f>
        <v>BG Rallyesport</v>
      </c>
      <c r="K9" s="206" t="str">
        <f>IF(ISBLANK($D9),"",VLOOKUP($D9,Teilnehmer!$B$4:$K$199,10,0))</f>
        <v>Honda Civic</v>
      </c>
      <c r="L9" s="207">
        <f>IF(ISBLANK($D9),"",VLOOKUP($D9,'Ausgabe Zeiten'!M:AV,4,0))</f>
        <v>3.9976851851851736E-3</v>
      </c>
      <c r="M9" s="207">
        <f>IF(ISBLANK($D9),"",VLOOKUP($D9,'Ausgabe Zeiten'!M:AV,9,0))</f>
        <v>4.4240740740740803E-3</v>
      </c>
      <c r="N9" s="207">
        <f>IF(ISBLANK($D9),"",VLOOKUP($D9,'Ausgabe Zeiten'!M:AV,14,0))</f>
        <v>3.9211805555555701E-3</v>
      </c>
      <c r="O9" s="207">
        <f>IF(ISBLANK($D9),"",VLOOKUP($D9,'Ausgabe Zeiten'!M:AV,19,0))</f>
        <v>4.2995370370370045E-3</v>
      </c>
      <c r="P9" s="207">
        <f>IF(ISBLANK($D9),"",VLOOKUP($D9,'Ausgabe Zeiten'!M:AV,24,0))</f>
        <v>3.8596064814814257E-3</v>
      </c>
      <c r="Q9" s="207">
        <f>IF(ISBLANK($D9),"",VLOOKUP($D9,'Ausgabe Zeiten'!M:AV,29,0))</f>
        <v>0</v>
      </c>
      <c r="R9" s="237">
        <f>IF(ISBLANK($D9),"",VLOOKUP($D9,'Ausgabe Zeiten'!M:AV,35,0))</f>
        <v>0</v>
      </c>
      <c r="S9" s="241">
        <f>IF(ISBLANK($D9),"",VLOOKUP($D9,'Ausgabe Zeiten'!M:AV,36,0))</f>
        <v>2.0502083333333254E-2</v>
      </c>
      <c r="T9" s="239">
        <f>IF(ISBLANK(D9),"",ROUND((23-20*(B9-1)/$L$4),2))</f>
        <v>19.36</v>
      </c>
      <c r="V9" s="208" t="str">
        <f t="shared" si="0"/>
        <v>ok</v>
      </c>
      <c r="W9" s="198" t="str">
        <f t="shared" ref="W9:W17" si="3">IF(ISBLANK($D9),"",IF(S10&gt;S9,"ok","Sortierung A bis Z"))</f>
        <v>ok</v>
      </c>
      <c r="X9" s="208"/>
    </row>
    <row r="10" spans="2:27" s="197" customFormat="1" ht="27.75" customHeight="1">
      <c r="B10" s="188">
        <f>IF(ISBLANK(D10),"",B9+1)</f>
        <v>4</v>
      </c>
      <c r="C10" s="190" t="str">
        <f>IF(ISBLANK(D10),"",IF(B10&lt;=$Z$2,"G",IF(AND(B10&gt;$Z$2,B10&lt;=$Z$3),"S",IF(AND(B10&gt;$Z$3,B10&lt;=$Z$4),"B","E"))))</f>
        <v>S</v>
      </c>
      <c r="D10" s="205">
        <v>47</v>
      </c>
      <c r="E10" s="181" t="str">
        <f>IF(ISBLANK($D10),"",VLOOKUP($D10,Teilnehmer!$B$4:$K$199,4,0))</f>
        <v>Kahler Patrick</v>
      </c>
      <c r="F10" s="286" t="str">
        <f>IF(ISBLANK($D10),"",VLOOKUP($D10,Teilnehmer!$B$4:$K$199,5,0))</f>
        <v>-</v>
      </c>
      <c r="G10" s="287" t="str">
        <f>IF(ISBLANK($D10),"",VLOOKUP($D10,Teilnehmer!$B$4:$K$199,6,0))</f>
        <v>1stTime2nd-Rallyesport</v>
      </c>
      <c r="H10" s="181" t="str">
        <f>IF(ISBLANK($D10),"",VLOOKUP($D10,Teilnehmer!$B$4:$K$199,7,0))</f>
        <v>Schöppach Dominic</v>
      </c>
      <c r="I10" s="286" t="str">
        <f>IF(ISBLANK($D10),"",VLOOKUP($D10,Teilnehmer!$B$4:$K$199,8,0))</f>
        <v>-</v>
      </c>
      <c r="J10" s="287" t="str">
        <f>IF(ISBLANK($D10),"",VLOOKUP($D10,Teilnehmer!$B$4:$K$199,9,0))</f>
        <v>-</v>
      </c>
      <c r="K10" s="206" t="str">
        <f>IF(ISBLANK($D10),"",VLOOKUP($D10,Teilnehmer!$B$4:$K$199,10,0))</f>
        <v>Citroën Saxo VTS</v>
      </c>
      <c r="L10" s="207">
        <f>IF(ISBLANK($D10),"",VLOOKUP($D10,'Ausgabe Zeiten'!M:AV,4,0))</f>
        <v>3.9505787037036333E-3</v>
      </c>
      <c r="M10" s="207">
        <f>IF(ISBLANK($D10),"",VLOOKUP($D10,'Ausgabe Zeiten'!M:AV,9,0))</f>
        <v>4.579745370370425E-3</v>
      </c>
      <c r="N10" s="207">
        <f>IF(ISBLANK($D10),"",VLOOKUP($D10,'Ausgabe Zeiten'!M:AV,14,0))</f>
        <v>3.9217592592591943E-3</v>
      </c>
      <c r="O10" s="207">
        <f>IF(ISBLANK($D10),"",VLOOKUP($D10,'Ausgabe Zeiten'!M:AV,19,0))</f>
        <v>4.3832175925925254E-3</v>
      </c>
      <c r="P10" s="207">
        <f>IF(ISBLANK($D10),"",VLOOKUP($D10,'Ausgabe Zeiten'!M:AV,24,0))</f>
        <v>3.8548611111112185E-3</v>
      </c>
      <c r="Q10" s="207">
        <f>IF(ISBLANK($D10),"",VLOOKUP($D10,'Ausgabe Zeiten'!M:AV,29,0))</f>
        <v>0</v>
      </c>
      <c r="R10" s="237">
        <f>IF(ISBLANK($D10),"",VLOOKUP($D10,'Ausgabe Zeiten'!M:AV,35,0))</f>
        <v>0</v>
      </c>
      <c r="S10" s="241">
        <f>IF(ISBLANK($D10),"",VLOOKUP($D10,'Ausgabe Zeiten'!M:AV,36,0))</f>
        <v>2.0690162037036997E-2</v>
      </c>
      <c r="T10" s="239">
        <f t="shared" ref="T10:T14" si="4">IF(ISBLANK(D10),"",ROUND((23-20*(B10-1)/$L$4),2))</f>
        <v>17.55</v>
      </c>
      <c r="V10" s="208" t="str">
        <f t="shared" si="0"/>
        <v>ok</v>
      </c>
      <c r="W10" s="198" t="str">
        <f t="shared" si="3"/>
        <v>ok</v>
      </c>
      <c r="X10" s="208"/>
    </row>
    <row r="11" spans="2:27" s="197" customFormat="1" ht="27.75" customHeight="1">
      <c r="B11" s="188">
        <f t="shared" ref="B11:B15" si="5">IF(ISBLANK(D11),"",B10+1)</f>
        <v>5</v>
      </c>
      <c r="C11" s="190" t="str">
        <f>IF(ISBLANK(D11),"",IF(B11&lt;=$Z$2,"G",IF(AND(B11&gt;$Z$2,B11&lt;=$Z$3),"S",IF(AND(B11&gt;$Z$3,B11&lt;=$Z$4),"B","E"))))</f>
        <v>S</v>
      </c>
      <c r="D11" s="205">
        <v>40</v>
      </c>
      <c r="E11" s="181" t="str">
        <f>IF(ISBLANK($D11),"",VLOOKUP($D11,Teilnehmer!$B$4:$K$199,4,0))</f>
        <v>Preis Gerhard</v>
      </c>
      <c r="F11" s="286">
        <f>IF(ISBLANK($D11),"",VLOOKUP($D11,Teilnehmer!$B$4:$K$199,5,0))</f>
        <v>15058</v>
      </c>
      <c r="G11" s="287" t="str">
        <f>IF(ISBLANK($D11),"",VLOOKUP($D11,Teilnehmer!$B$4:$K$199,6,0))</f>
        <v>-</v>
      </c>
      <c r="H11" s="181" t="str">
        <f>IF(ISBLANK($D11),"",VLOOKUP($D11,Teilnehmer!$B$4:$K$199,7,0))</f>
        <v>Zellner Samuel</v>
      </c>
      <c r="I11" s="286">
        <f>IF(ISBLANK($D11),"",VLOOKUP($D11,Teilnehmer!$B$4:$K$199,8,0))</f>
        <v>16716</v>
      </c>
      <c r="J11" s="287" t="str">
        <f>IF(ISBLANK($D11),"",VLOOKUP($D11,Teilnehmer!$B$4:$K$199,9,0))</f>
        <v>-</v>
      </c>
      <c r="K11" s="206" t="str">
        <f>IF(ISBLANK($D11),"",VLOOKUP($D11,Teilnehmer!$B$4:$K$199,10,0))</f>
        <v>VW Polo GTI</v>
      </c>
      <c r="L11" s="207">
        <f>IF(ISBLANK($D11),"",VLOOKUP($D11,'Ausgabe Zeiten'!M:AV,4,0))</f>
        <v>4.0042824074074113E-3</v>
      </c>
      <c r="M11" s="207">
        <f>IF(ISBLANK($D11),"",VLOOKUP($D11,'Ausgabe Zeiten'!M:AV,9,0))</f>
        <v>4.525810185185164E-3</v>
      </c>
      <c r="N11" s="207">
        <f>IF(ISBLANK($D11),"",VLOOKUP($D11,'Ausgabe Zeiten'!M:AV,14,0))</f>
        <v>3.9554398148148318E-3</v>
      </c>
      <c r="O11" s="207">
        <f>IF(ISBLANK($D11),"",VLOOKUP($D11,'Ausgabe Zeiten'!M:AV,19,0))</f>
        <v>4.4241898148147385E-3</v>
      </c>
      <c r="P11" s="207">
        <f>IF(ISBLANK($D11),"",VLOOKUP($D11,'Ausgabe Zeiten'!M:AV,24,0))</f>
        <v>3.9407407407408002E-3</v>
      </c>
      <c r="Q11" s="207">
        <f>IF(ISBLANK($D11),"",VLOOKUP($D11,'Ausgabe Zeiten'!M:AV,29,0))</f>
        <v>0</v>
      </c>
      <c r="R11" s="237">
        <f>IF(ISBLANK($D11),"",VLOOKUP($D11,'Ausgabe Zeiten'!M:AV,35,0))</f>
        <v>0</v>
      </c>
      <c r="S11" s="241">
        <f>IF(ISBLANK($D11),"",VLOOKUP($D11,'Ausgabe Zeiten'!M:AV,36,0))</f>
        <v>2.0850462962962946E-2</v>
      </c>
      <c r="T11" s="239">
        <f t="shared" si="4"/>
        <v>15.73</v>
      </c>
      <c r="V11" s="208" t="str">
        <f t="shared" si="0"/>
        <v>ok</v>
      </c>
      <c r="W11" s="198" t="str">
        <f t="shared" si="3"/>
        <v>ok</v>
      </c>
      <c r="X11" s="208"/>
    </row>
    <row r="12" spans="2:27" s="197" customFormat="1" ht="27.75" customHeight="1">
      <c r="B12" s="188">
        <f t="shared" si="5"/>
        <v>6</v>
      </c>
      <c r="C12" s="190" t="str">
        <f>IF(ISBLANK(D12),"",IF(B12&lt;=$Z$2,"G",IF(AND(B12&gt;$Z$2,B12&lt;=$Z$3),"S",IF(AND(B12&gt;$Z$3,B12&lt;=$Z$4),"B","E"))))</f>
        <v>B</v>
      </c>
      <c r="D12" s="205">
        <v>46</v>
      </c>
      <c r="E12" s="181" t="str">
        <f>IF(ISBLANK($D12),"",VLOOKUP($D12,Teilnehmer!$B$4:$K$199,4,0))</f>
        <v>Gärtner Daniel</v>
      </c>
      <c r="F12" s="286">
        <f>IF(ISBLANK($D12),"",VLOOKUP($D12,Teilnehmer!$B$4:$K$199,5,0))</f>
        <v>15636</v>
      </c>
      <c r="G12" s="287" t="str">
        <f>IF(ISBLANK($D12),"",VLOOKUP($D12,Teilnehmer!$B$4:$K$199,6,0))</f>
        <v>B+G Rallyesport</v>
      </c>
      <c r="H12" s="181" t="str">
        <f>IF(ISBLANK($D12),"",VLOOKUP($D12,Teilnehmer!$B$4:$K$199,7,0))</f>
        <v>Gärtner Yvonne</v>
      </c>
      <c r="I12" s="286">
        <f>IF(ISBLANK($D12),"",VLOOKUP($D12,Teilnehmer!$B$4:$K$199,8,0))</f>
        <v>15637</v>
      </c>
      <c r="J12" s="287" t="str">
        <f>IF(ISBLANK($D12),"",VLOOKUP($D12,Teilnehmer!$B$4:$K$199,9,0))</f>
        <v>-</v>
      </c>
      <c r="K12" s="206" t="str">
        <f>IF(ISBLANK($D12),"",VLOOKUP($D12,Teilnehmer!$B$4:$K$199,10,0))</f>
        <v>VW Golf I</v>
      </c>
      <c r="L12" s="207">
        <f>IF(ISBLANK($D12),"",VLOOKUP($D12,'Ausgabe Zeiten'!M:AV,4,0))</f>
        <v>4.0618055555555754E-3</v>
      </c>
      <c r="M12" s="207">
        <f>IF(ISBLANK($D12),"",VLOOKUP($D12,'Ausgabe Zeiten'!M:AV,9,0))</f>
        <v>4.6363425925926016E-3</v>
      </c>
      <c r="N12" s="207">
        <f>IF(ISBLANK($D12),"",VLOOKUP($D12,'Ausgabe Zeiten'!M:AV,14,0))</f>
        <v>4.0432870370369356E-3</v>
      </c>
      <c r="O12" s="207">
        <f>IF(ISBLANK($D12),"",VLOOKUP($D12,'Ausgabe Zeiten'!M:AV,19,0))</f>
        <v>4.4336805555555969E-3</v>
      </c>
      <c r="P12" s="207">
        <f>IF(ISBLANK($D12),"",VLOOKUP($D12,'Ausgabe Zeiten'!M:AV,24,0))</f>
        <v>3.9641203703703054E-3</v>
      </c>
      <c r="Q12" s="207">
        <f>IF(ISBLANK($D12),"",VLOOKUP($D12,'Ausgabe Zeiten'!M:AV,29,0))</f>
        <v>0</v>
      </c>
      <c r="R12" s="237">
        <f>IF(ISBLANK($D12),"",VLOOKUP($D12,'Ausgabe Zeiten'!M:AV,35,0))</f>
        <v>0</v>
      </c>
      <c r="S12" s="241">
        <f>IF(ISBLANK($D12),"",VLOOKUP($D12,'Ausgabe Zeiten'!M:AV,36,0))</f>
        <v>2.1139236111111015E-2</v>
      </c>
      <c r="T12" s="239">
        <f t="shared" si="4"/>
        <v>13.91</v>
      </c>
      <c r="V12" s="208" t="str">
        <f t="shared" si="0"/>
        <v>ok</v>
      </c>
      <c r="W12" s="198" t="str">
        <f t="shared" si="3"/>
        <v>ok</v>
      </c>
      <c r="X12" s="208"/>
    </row>
    <row r="13" spans="2:27" s="197" customFormat="1" ht="27.75" customHeight="1">
      <c r="B13" s="188">
        <f t="shared" si="5"/>
        <v>7</v>
      </c>
      <c r="C13" s="190" t="str">
        <f>IF(ISBLANK(D13),"",IF(B13&lt;=$Z$2,"G",IF(AND(B13&gt;$Z$2,B13&lt;=$Z$3),"S",IF(AND(B13&gt;$Z$3,B13&lt;=$Z$4),"B","E"))))</f>
        <v>B</v>
      </c>
      <c r="D13" s="205">
        <v>50</v>
      </c>
      <c r="E13" s="181" t="str">
        <f>IF(ISBLANK($D13),"",VLOOKUP($D13,Teilnehmer!$B$4:$K$199,4,0))</f>
        <v>Werner Harald</v>
      </c>
      <c r="F13" s="286">
        <f>IF(ISBLANK($D13),"",VLOOKUP($D13,Teilnehmer!$B$4:$K$199,5,0))</f>
        <v>20275</v>
      </c>
      <c r="G13" s="287" t="str">
        <f>IF(ISBLANK($D13),"",VLOOKUP($D13,Teilnehmer!$B$4:$K$199,6,0))</f>
        <v>RST Mittelfranken</v>
      </c>
      <c r="H13" s="181" t="str">
        <f>IF(ISBLANK($D13),"",VLOOKUP($D13,Teilnehmer!$B$4:$K$199,7,0))</f>
        <v>Bratfisch-Beltz Thomas</v>
      </c>
      <c r="I13" s="286">
        <f>IF(ISBLANK($D13),"",VLOOKUP($D13,Teilnehmer!$B$4:$K$199,8,0))</f>
        <v>40075</v>
      </c>
      <c r="J13" s="287" t="str">
        <f>IF(ISBLANK($D13),"",VLOOKUP($D13,Teilnehmer!$B$4:$K$199,9,0))</f>
        <v>MSC Berg</v>
      </c>
      <c r="K13" s="206" t="str">
        <f>IF(ISBLANK($D13),"",VLOOKUP($D13,Teilnehmer!$B$4:$K$199,10,0))</f>
        <v>Mitsubishi Colt</v>
      </c>
      <c r="L13" s="207">
        <f>IF(ISBLANK($D13),"",VLOOKUP($D13,'Ausgabe Zeiten'!M:AV,4,0))</f>
        <v>4.3006944444444195E-3</v>
      </c>
      <c r="M13" s="207">
        <f>IF(ISBLANK($D13),"",VLOOKUP($D13,'Ausgabe Zeiten'!M:AV,9,0))</f>
        <v>4.670486111111094E-3</v>
      </c>
      <c r="N13" s="207">
        <f>IF(ISBLANK($D13),"",VLOOKUP($D13,'Ausgabe Zeiten'!M:AV,14,0))</f>
        <v>4.1932870370370301E-3</v>
      </c>
      <c r="O13" s="207">
        <f>IF(ISBLANK($D13),"",VLOOKUP($D13,'Ausgabe Zeiten'!M:AV,19,0))</f>
        <v>4.5491898148148913E-3</v>
      </c>
      <c r="P13" s="207">
        <f>IF(ISBLANK($D13),"",VLOOKUP($D13,'Ausgabe Zeiten'!M:AV,24,0))</f>
        <v>4.1109953703704072E-3</v>
      </c>
      <c r="Q13" s="207">
        <f>IF(ISBLANK($D13),"",VLOOKUP($D13,'Ausgabe Zeiten'!M:AV,29,0))</f>
        <v>0</v>
      </c>
      <c r="R13" s="237">
        <f>IF(ISBLANK($D13),"",VLOOKUP($D13,'Ausgabe Zeiten'!M:AV,35,0))</f>
        <v>0</v>
      </c>
      <c r="S13" s="241">
        <f>IF(ISBLANK($D13),"",VLOOKUP($D13,'Ausgabe Zeiten'!M:AV,36,0))</f>
        <v>2.1824652777777842E-2</v>
      </c>
      <c r="T13" s="239">
        <f t="shared" si="4"/>
        <v>12.09</v>
      </c>
      <c r="V13" s="208" t="str">
        <f t="shared" si="0"/>
        <v>ok</v>
      </c>
      <c r="W13" s="198" t="str">
        <f t="shared" si="3"/>
        <v>ok</v>
      </c>
      <c r="X13" s="208"/>
    </row>
    <row r="14" spans="2:27" s="197" customFormat="1" ht="27.75" customHeight="1">
      <c r="B14" s="188">
        <f t="shared" si="5"/>
        <v>8</v>
      </c>
      <c r="C14" s="190" t="str">
        <f>IF(ISBLANK(D14),"",IF(B14&lt;=$Z$2,"G",IF(AND(B14&gt;$Z$2,B14&lt;=$Z$3),"S",IF(AND(B14&gt;$Z$3,B14&lt;=$Z$4),"B","E"))))</f>
        <v>B</v>
      </c>
      <c r="D14" s="205">
        <v>41</v>
      </c>
      <c r="E14" s="181" t="str">
        <f>IF(ISBLANK($D14),"",VLOOKUP($D14,Teilnehmer!$B$4:$K$199,4,0))</f>
        <v>Lange Kay Mario Oliver</v>
      </c>
      <c r="F14" s="286">
        <f>IF(ISBLANK($D14),"",VLOOKUP($D14,Teilnehmer!$B$4:$K$199,5,0))</f>
        <v>14751</v>
      </c>
      <c r="G14" s="287" t="str">
        <f>IF(ISBLANK($D14),"",VLOOKUP($D14,Teilnehmer!$B$4:$K$199,6,0))</f>
        <v>MSC Mamming</v>
      </c>
      <c r="H14" s="181" t="str">
        <f>IF(ISBLANK($D14),"",VLOOKUP($D14,Teilnehmer!$B$4:$K$199,7,0))</f>
        <v>Lange Nina</v>
      </c>
      <c r="I14" s="286">
        <f>IF(ISBLANK($D14),"",VLOOKUP($D14,Teilnehmer!$B$4:$K$199,8,0))</f>
        <v>15055</v>
      </c>
      <c r="J14" s="287" t="str">
        <f>IF(ISBLANK($D14),"",VLOOKUP($D14,Teilnehmer!$B$4:$K$199,9,0))</f>
        <v>MSC Mamming</v>
      </c>
      <c r="K14" s="206" t="str">
        <f>IF(ISBLANK($D14),"",VLOOKUP($D14,Teilnehmer!$B$4:$K$199,10,0))</f>
        <v>Honda Civic</v>
      </c>
      <c r="L14" s="207">
        <f>IF(ISBLANK($D14),"",VLOOKUP($D14,'Ausgabe Zeiten'!M:AV,4,0))</f>
        <v>5.9731481481481441E-3</v>
      </c>
      <c r="M14" s="207">
        <f>IF(ISBLANK($D14),"",VLOOKUP($D14,'Ausgabe Zeiten'!M:AV,9,0))</f>
        <v>4.870949074074038E-3</v>
      </c>
      <c r="N14" s="207">
        <f>IF(ISBLANK($D14),"",VLOOKUP($D14,'Ausgabe Zeiten'!M:AV,14,0))</f>
        <v>4.1972222222221856E-3</v>
      </c>
      <c r="O14" s="207">
        <f>IF(ISBLANK($D14),"",VLOOKUP($D14,'Ausgabe Zeiten'!M:AV,19,0))</f>
        <v>4.6943287037035653E-3</v>
      </c>
      <c r="P14" s="207">
        <f>IF(ISBLANK($D14),"",VLOOKUP($D14,'Ausgabe Zeiten'!M:AV,24,0))</f>
        <v>4.1918981481481321E-3</v>
      </c>
      <c r="Q14" s="207">
        <f>IF(ISBLANK($D14),"",VLOOKUP($D14,'Ausgabe Zeiten'!M:AV,29,0))</f>
        <v>0</v>
      </c>
      <c r="R14" s="237">
        <f>IF(ISBLANK($D14),"",VLOOKUP($D14,'Ausgabe Zeiten'!M:AV,35,0))</f>
        <v>0</v>
      </c>
      <c r="S14" s="241">
        <f>IF(ISBLANK($D14),"",VLOOKUP($D14,'Ausgabe Zeiten'!M:AV,36,0))</f>
        <v>2.3927546296296065E-2</v>
      </c>
      <c r="T14" s="239">
        <f t="shared" si="4"/>
        <v>10.27</v>
      </c>
      <c r="V14" s="208" t="str">
        <f t="shared" si="0"/>
        <v>ok</v>
      </c>
      <c r="W14" s="198" t="str">
        <f t="shared" si="3"/>
        <v>ok</v>
      </c>
      <c r="X14" s="208"/>
    </row>
    <row r="15" spans="2:27" s="197" customFormat="1" ht="27.75" customHeight="1">
      <c r="B15" s="188">
        <f t="shared" si="5"/>
        <v>9</v>
      </c>
      <c r="C15" s="190" t="str">
        <f>IF(ISBLANK(D15),"",IF(B15&lt;=$Z$2,"G",IF(AND(B15&gt;$Z$2,B15&lt;=$Z$3),"S",IF(AND(B15&gt;$Z$3,B15&lt;=$Z$4),"B","E"))))</f>
        <v>E</v>
      </c>
      <c r="D15" s="205">
        <v>45</v>
      </c>
      <c r="E15" s="181" t="str">
        <f>IF(ISBLANK($D15),"",VLOOKUP($D15,Teilnehmer!$B$4:$K$199,4,0))</f>
        <v>Preis sen. Gerhard</v>
      </c>
      <c r="F15" s="286" t="str">
        <f>IF(ISBLANK($D15),"",VLOOKUP($D15,Teilnehmer!$B$4:$K$199,5,0))</f>
        <v>-</v>
      </c>
      <c r="G15" s="287" t="str">
        <f>IF(ISBLANK($D15),"",VLOOKUP($D15,Teilnehmer!$B$4:$K$199,6,0))</f>
        <v>-</v>
      </c>
      <c r="H15" s="181" t="str">
        <f>IF(ISBLANK($D15),"",VLOOKUP($D15,Teilnehmer!$B$4:$K$199,7,0))</f>
        <v>Ilgmeier Erwin</v>
      </c>
      <c r="I15" s="286" t="str">
        <f>IF(ISBLANK($D15),"",VLOOKUP($D15,Teilnehmer!$B$4:$K$199,8,0))</f>
        <v>-</v>
      </c>
      <c r="J15" s="287" t="str">
        <f>IF(ISBLANK($D15),"",VLOOKUP($D15,Teilnehmer!$B$4:$K$199,9,0))</f>
        <v>-</v>
      </c>
      <c r="K15" s="206" t="str">
        <f>IF(ISBLANK($D15),"",VLOOKUP($D15,Teilnehmer!$B$4:$K$199,10,0))</f>
        <v>Peugeot 206</v>
      </c>
      <c r="L15" s="207">
        <f>IF(ISBLANK($D15),"",VLOOKUP($D15,'Ausgabe Zeiten'!M:AV,4,0))</f>
        <v>4.4189814814815098E-3</v>
      </c>
      <c r="M15" s="207">
        <f>IF(ISBLANK($D15),"",VLOOKUP($D15,'Ausgabe Zeiten'!M:AV,9,0))</f>
        <v>1.0416666666666666E-2</v>
      </c>
      <c r="N15" s="207">
        <f>IF(ISBLANK($D15),"",VLOOKUP($D15,'Ausgabe Zeiten'!M:AV,14,0))</f>
        <v>4.3354166666667027E-3</v>
      </c>
      <c r="O15" s="207">
        <f>IF(ISBLANK($D15),"",VLOOKUP($D15,'Ausgabe Zeiten'!M:AV,19,0))</f>
        <v>4.8461805555556348E-3</v>
      </c>
      <c r="P15" s="207">
        <f>IF(ISBLANK($D15),"",VLOOKUP($D15,'Ausgabe Zeiten'!M:AV,24,0))</f>
        <v>4.4032407407408325E-3</v>
      </c>
      <c r="Q15" s="207">
        <f>IF(ISBLANK($D15),"",VLOOKUP($D15,'Ausgabe Zeiten'!M:AV,29,0))</f>
        <v>0</v>
      </c>
      <c r="R15" s="237">
        <f>IF(ISBLANK($D15),"",VLOOKUP($D15,'Ausgabe Zeiten'!M:AV,35,0))</f>
        <v>0</v>
      </c>
      <c r="S15" s="241">
        <f>IF(ISBLANK($D15),"",VLOOKUP($D15,'Ausgabe Zeiten'!M:AV,36,0))</f>
        <v>2.8420486111111344E-2</v>
      </c>
      <c r="T15" s="239">
        <f>IF(ISBLANK(D15),"",ROUND((23-20*(B15-1)/$L$4),2))</f>
        <v>8.4499999999999993</v>
      </c>
      <c r="V15" s="208" t="str">
        <f t="shared" si="0"/>
        <v>ok</v>
      </c>
      <c r="W15" s="198" t="str">
        <f t="shared" si="3"/>
        <v>ok</v>
      </c>
      <c r="X15" s="208"/>
    </row>
    <row r="16" spans="2:27" s="197" customFormat="1" ht="27.75" customHeight="1">
      <c r="B16" s="188">
        <f t="shared" ref="B16:B17" si="6">IF(ISBLANK(D16),"",B15+1)</f>
        <v>10</v>
      </c>
      <c r="C16" s="190" t="str">
        <f>IF(ISBLANK(D16),"",IF(B16&lt;=$Z$2,"G",IF(AND(B16&gt;$Z$2,B16&lt;=$Z$3),"S",IF(AND(B16&gt;$Z$3,B16&lt;=$Z$4),"B","E"))))</f>
        <v>E</v>
      </c>
      <c r="D16" s="205">
        <v>43</v>
      </c>
      <c r="E16" s="181" t="str">
        <f>IF(ISBLANK($D16),"",VLOOKUP($D16,Teilnehmer!$B$4:$K$199,4,0))</f>
        <v>Schmitt Thomas</v>
      </c>
      <c r="F16" s="286">
        <f>IF(ISBLANK($D16),"",VLOOKUP($D16,Teilnehmer!$B$4:$K$199,5,0))</f>
        <v>15607</v>
      </c>
      <c r="G16" s="287" t="str">
        <f>IF(ISBLANK($D16),"",VLOOKUP($D16,Teilnehmer!$B$4:$K$199,6,0))</f>
        <v>-</v>
      </c>
      <c r="H16" s="181" t="str">
        <f>IF(ISBLANK($D16),"",VLOOKUP($D16,Teilnehmer!$B$4:$K$199,7,0))</f>
        <v>Sommer Petra</v>
      </c>
      <c r="I16" s="286">
        <f>IF(ISBLANK($D16),"",VLOOKUP($D16,Teilnehmer!$B$4:$K$199,8,0))</f>
        <v>15606</v>
      </c>
      <c r="J16" s="287" t="str">
        <f>IF(ISBLANK($D16),"",VLOOKUP($D16,Teilnehmer!$B$4:$K$199,9,0))</f>
        <v>-</v>
      </c>
      <c r="K16" s="206" t="str">
        <f>IF(ISBLANK($D16),"",VLOOKUP($D16,Teilnehmer!$B$4:$K$199,10,0))</f>
        <v>Toyota Corolla GT</v>
      </c>
      <c r="L16" s="207" t="str">
        <f>IF(ISBLANK($D16),"",VLOOKUP($D16,'Ausgabe Zeiten'!M:AV,4,0))</f>
        <v>ADW</v>
      </c>
      <c r="M16" s="207" t="str">
        <f>IF(ISBLANK($D16),"",VLOOKUP($D16,'Ausgabe Zeiten'!M:AV,9,0))</f>
        <v>ADW</v>
      </c>
      <c r="N16" s="207" t="str">
        <f>IF(ISBLANK($D16),"",VLOOKUP($D16,'Ausgabe Zeiten'!M:AV,14,0))</f>
        <v>ADW</v>
      </c>
      <c r="O16" s="207" t="str">
        <f>IF(ISBLANK($D16),"",VLOOKUP($D16,'Ausgabe Zeiten'!M:AV,19,0))</f>
        <v>ADW</v>
      </c>
      <c r="P16" s="207" t="str">
        <f>IF(ISBLANK($D16),"",VLOOKUP($D16,'Ausgabe Zeiten'!M:AV,24,0))</f>
        <v>ADW</v>
      </c>
      <c r="Q16" s="207">
        <f>IF(ISBLANK($D16),"",VLOOKUP($D16,'Ausgabe Zeiten'!M:AV,29,0))</f>
        <v>0</v>
      </c>
      <c r="R16" s="237">
        <f>IF(ISBLANK($D16),"",VLOOKUP($D16,'Ausgabe Zeiten'!M:AV,35,0))</f>
        <v>0</v>
      </c>
      <c r="S16" s="241" t="str">
        <f>IF(ISBLANK($D16),"",VLOOKUP($D16,'Ausgabe Zeiten'!M:AV,36,0))</f>
        <v>ADW</v>
      </c>
      <c r="T16" s="239">
        <v>0</v>
      </c>
      <c r="V16" s="208" t="e">
        <f t="shared" si="0"/>
        <v>#VALUE!</v>
      </c>
      <c r="W16" s="198" t="str">
        <f t="shared" si="3"/>
        <v>Sortierung A bis Z</v>
      </c>
      <c r="X16" s="208"/>
    </row>
    <row r="17" spans="2:24" s="197" customFormat="1" ht="27.75" customHeight="1">
      <c r="B17" s="188">
        <f t="shared" si="6"/>
        <v>11</v>
      </c>
      <c r="C17" s="190" t="str">
        <f>IF(ISBLANK(D17),"",IF(B17&lt;=$Z$2,"G",IF(AND(B17&gt;$Z$2,B17&lt;=$Z$3),"S",IF(AND(B17&gt;$Z$3,B17&lt;=$Z$4),"B","E"))))</f>
        <v>E</v>
      </c>
      <c r="D17" s="205">
        <v>49</v>
      </c>
      <c r="E17" s="181" t="str">
        <f>IF(ISBLANK($D17),"",VLOOKUP($D17,Teilnehmer!$B$4:$K$199,4,0))</f>
        <v>Berger Axel</v>
      </c>
      <c r="F17" s="286" t="str">
        <f>IF(ISBLANK($D17),"",VLOOKUP($D17,Teilnehmer!$B$4:$K$199,5,0))</f>
        <v>-</v>
      </c>
      <c r="G17" s="287" t="str">
        <f>IF(ISBLANK($D17),"",VLOOKUP($D17,Teilnehmer!$B$4:$K$199,6,0))</f>
        <v>-</v>
      </c>
      <c r="H17" s="181" t="str">
        <f>IF(ISBLANK($D17),"",VLOOKUP($D17,Teilnehmer!$B$4:$K$199,7,0))</f>
        <v>Berger Marc</v>
      </c>
      <c r="I17" s="286" t="str">
        <f>IF(ISBLANK($D17),"",VLOOKUP($D17,Teilnehmer!$B$4:$K$199,8,0))</f>
        <v>-</v>
      </c>
      <c r="J17" s="287" t="str">
        <f>IF(ISBLANK($D17),"",VLOOKUP($D17,Teilnehmer!$B$4:$K$199,9,0))</f>
        <v>-</v>
      </c>
      <c r="K17" s="206" t="str">
        <f>IF(ISBLANK($D17),"",VLOOKUP($D17,Teilnehmer!$B$4:$K$199,10,0))</f>
        <v>Opel Corsa A</v>
      </c>
      <c r="L17" s="207">
        <f>IF(ISBLANK($D17),"",VLOOKUP($D17,'Ausgabe Zeiten'!M:AV,4,0))</f>
        <v>4.0225694444444016E-3</v>
      </c>
      <c r="M17" s="207" t="str">
        <f>IF(ISBLANK($D17),"",VLOOKUP($D17,'Ausgabe Zeiten'!M:AV,9,0))</f>
        <v>ADW</v>
      </c>
      <c r="N17" s="207" t="str">
        <f>IF(ISBLANK($D17),"",VLOOKUP($D17,'Ausgabe Zeiten'!M:AV,14,0))</f>
        <v>ADW</v>
      </c>
      <c r="O17" s="207" t="str">
        <f>IF(ISBLANK($D17),"",VLOOKUP($D17,'Ausgabe Zeiten'!M:AV,19,0))</f>
        <v>ADW</v>
      </c>
      <c r="P17" s="207" t="str">
        <f>IF(ISBLANK($D17),"",VLOOKUP($D17,'Ausgabe Zeiten'!M:AV,24,0))</f>
        <v>ADW</v>
      </c>
      <c r="Q17" s="207">
        <f>IF(ISBLANK($D17),"",VLOOKUP($D17,'Ausgabe Zeiten'!M:AV,29,0))</f>
        <v>0</v>
      </c>
      <c r="R17" s="237">
        <f>IF(ISBLANK($D17),"",VLOOKUP($D17,'Ausgabe Zeiten'!M:AV,35,0))</f>
        <v>0</v>
      </c>
      <c r="S17" s="241" t="str">
        <f>IF(ISBLANK($D17),"",VLOOKUP($D17,'Ausgabe Zeiten'!M:AV,36,0))</f>
        <v>ADW</v>
      </c>
      <c r="T17" s="239">
        <v>0</v>
      </c>
      <c r="V17" s="208" t="e">
        <f t="shared" si="0"/>
        <v>#VALUE!</v>
      </c>
      <c r="W17" s="198" t="str">
        <f t="shared" si="3"/>
        <v>Sortierung A bis Z</v>
      </c>
      <c r="X17" s="208"/>
    </row>
    <row r="18" spans="2:24" s="197" customFormat="1">
      <c r="B18" s="209"/>
      <c r="C18" s="210"/>
      <c r="W18" s="211"/>
    </row>
    <row r="19" spans="2:24" s="197" customFormat="1">
      <c r="B19" s="209"/>
      <c r="C19" s="210"/>
      <c r="W19" s="211"/>
    </row>
    <row r="20" spans="2:24" s="197" customFormat="1">
      <c r="B20" s="209"/>
      <c r="C20" s="210"/>
      <c r="W20" s="211"/>
    </row>
    <row r="21" spans="2:24" s="197" customFormat="1">
      <c r="B21" s="209"/>
      <c r="C21" s="210"/>
      <c r="W21" s="211"/>
    </row>
    <row r="22" spans="2:24" s="197" customFormat="1">
      <c r="B22" s="209"/>
      <c r="C22" s="210"/>
      <c r="W22" s="211"/>
    </row>
    <row r="23" spans="2:24" s="197" customFormat="1">
      <c r="B23" s="209"/>
      <c r="C23" s="210"/>
      <c r="W23" s="211"/>
    </row>
    <row r="24" spans="2:24" s="197" customFormat="1">
      <c r="B24" s="209"/>
      <c r="C24" s="210"/>
      <c r="W24" s="211"/>
    </row>
    <row r="25" spans="2:24" s="13" customFormat="1">
      <c r="B25" s="12"/>
      <c r="C25" s="14"/>
      <c r="W25" s="149"/>
    </row>
    <row r="26" spans="2:24" s="13" customFormat="1">
      <c r="B26" s="12"/>
      <c r="C26" s="14"/>
      <c r="W26" s="149"/>
    </row>
    <row r="27" spans="2:24" s="13" customFormat="1">
      <c r="B27" s="12"/>
      <c r="C27" s="14"/>
      <c r="W27" s="149"/>
    </row>
    <row r="28" spans="2:24" s="13" customFormat="1">
      <c r="B28" s="12"/>
      <c r="C28" s="14"/>
      <c r="W28" s="149"/>
    </row>
    <row r="29" spans="2:24" s="13" customFormat="1">
      <c r="B29" s="12"/>
      <c r="C29" s="14"/>
      <c r="W29" s="149"/>
    </row>
    <row r="30" spans="2:24" s="13" customFormat="1">
      <c r="B30" s="12"/>
      <c r="C30" s="14"/>
      <c r="W30" s="149"/>
    </row>
    <row r="31" spans="2:24" s="13" customFormat="1">
      <c r="B31" s="12"/>
      <c r="C31" s="14"/>
      <c r="W31" s="149"/>
    </row>
    <row r="32" spans="2:24" s="13" customFormat="1">
      <c r="B32" s="12"/>
      <c r="C32" s="14"/>
      <c r="W32" s="149"/>
    </row>
    <row r="33" spans="2:23" s="13" customFormat="1">
      <c r="B33" s="12"/>
      <c r="C33" s="14"/>
      <c r="W33" s="149"/>
    </row>
    <row r="34" spans="2:23" s="13" customFormat="1">
      <c r="B34" s="12"/>
      <c r="C34" s="14"/>
      <c r="W34" s="149"/>
    </row>
    <row r="35" spans="2:23" s="13" customFormat="1">
      <c r="B35" s="12"/>
      <c r="C35" s="14"/>
      <c r="W35" s="149"/>
    </row>
    <row r="36" spans="2:23" s="13" customFormat="1">
      <c r="B36" s="12"/>
      <c r="C36" s="14"/>
      <c r="W36" s="149"/>
    </row>
    <row r="37" spans="2:23" s="13" customFormat="1">
      <c r="B37" s="12"/>
      <c r="C37" s="14"/>
      <c r="W37" s="149"/>
    </row>
    <row r="38" spans="2:23" s="13" customFormat="1">
      <c r="B38" s="12"/>
      <c r="C38" s="14"/>
      <c r="W38" s="149"/>
    </row>
  </sheetData>
  <autoFilter ref="C6:S6" xr:uid="{7B828EDB-901C-404C-98B5-E64A905CC40B}">
    <sortState xmlns:xlrd2="http://schemas.microsoft.com/office/spreadsheetml/2017/richdata2" ref="C7:S17">
      <sortCondition ref="S6"/>
    </sortState>
  </autoFilter>
  <mergeCells count="2">
    <mergeCell ref="V3:V6"/>
    <mergeCell ref="W3:W6"/>
  </mergeCells>
  <conditionalFormatting sqref="D7:D17">
    <cfRule type="duplicateValues" dxfId="48" priority="661"/>
  </conditionalFormatting>
  <conditionalFormatting sqref="L5">
    <cfRule type="cellIs" dxfId="47" priority="5" operator="lessThan">
      <formula>0</formula>
    </cfRule>
    <cfRule type="cellIs" dxfId="46" priority="6" operator="greaterThan">
      <formula>0</formula>
    </cfRule>
  </conditionalFormatting>
  <conditionalFormatting sqref="V1:V3 V7:V1048576">
    <cfRule type="cellIs" dxfId="45" priority="8" operator="equal">
      <formula>"X"</formula>
    </cfRule>
  </conditionalFormatting>
  <conditionalFormatting sqref="W1:W3 W7:W1048576">
    <cfRule type="cellIs" dxfId="44" priority="7" operator="equal">
      <formula>"Sortierung A bis Z"</formula>
    </cfRule>
  </conditionalFormatting>
  <pageMargins left="0.70866141732283472" right="0.70866141732283472" top="0.78740157480314965" bottom="0.78740157480314965" header="0.31496062992125984" footer="0.31496062992125984"/>
  <pageSetup paperSize="9" scale="64"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1EEDD-1D1B-42EE-9C0F-CE47D1B9FDFA}">
  <sheetPr>
    <tabColor theme="7"/>
    <pageSetUpPr fitToPage="1"/>
  </sheetPr>
  <dimension ref="B1:AA41"/>
  <sheetViews>
    <sheetView showGridLines="0" zoomScaleNormal="100" zoomScaleSheetLayoutView="115" workbookViewId="0">
      <pane xSplit="5" ySplit="6" topLeftCell="F7" activePane="bottomRight" state="frozen"/>
      <selection pane="bottomRight" activeCell="B1" sqref="B1:T26"/>
      <selection pane="bottomLeft" activeCell="J24" sqref="J24"/>
      <selection pane="topRight" activeCell="J24" sqref="J24"/>
    </sheetView>
  </sheetViews>
  <sheetFormatPr defaultColWidth="11.42578125" defaultRowHeight="14.25"/>
  <cols>
    <col min="1" max="1" width="2.7109375" style="5" customWidth="1"/>
    <col min="2" max="2" width="3.7109375" style="3" customWidth="1"/>
    <col min="3" max="3" width="3.28515625" style="6" customWidth="1"/>
    <col min="4" max="4" width="4.28515625" style="5" customWidth="1"/>
    <col min="5" max="5" width="16.42578125" style="13" bestFit="1" customWidth="1"/>
    <col min="6" max="6" width="6.7109375" style="5" customWidth="1"/>
    <col min="7" max="7" width="11.7109375" style="5" customWidth="1"/>
    <col min="8" max="8" width="15.7109375" style="13" customWidth="1"/>
    <col min="9" max="9" width="6.7109375" style="5" customWidth="1"/>
    <col min="10" max="10" width="11.7109375" style="5" customWidth="1"/>
    <col min="11" max="11" width="9.7109375" style="5" customWidth="1"/>
    <col min="12" max="12" width="12.5703125" style="5" bestFit="1" customWidth="1"/>
    <col min="13" max="13" width="13.5703125" style="5" bestFit="1" customWidth="1"/>
    <col min="14" max="15" width="12.5703125" style="5" bestFit="1" customWidth="1"/>
    <col min="16" max="16" width="11.85546875" style="5" customWidth="1"/>
    <col min="17" max="17" width="11.85546875" style="5" hidden="1" customWidth="1"/>
    <col min="18" max="18" width="12.5703125" style="5" bestFit="1" customWidth="1"/>
    <col min="19" max="19" width="15.5703125" style="5" bestFit="1" customWidth="1"/>
    <col min="20" max="20" width="11.5703125" style="5" bestFit="1" customWidth="1"/>
    <col min="21" max="21" width="2.42578125" style="5" bestFit="1" customWidth="1"/>
    <col min="22" max="22" width="6.28515625" style="5" bestFit="1" customWidth="1"/>
    <col min="23" max="23" width="13.7109375" style="148" bestFit="1" customWidth="1"/>
    <col min="24" max="24" width="3" style="5" bestFit="1" customWidth="1"/>
    <col min="25" max="25" width="9.28515625" style="5" bestFit="1" customWidth="1"/>
    <col min="26" max="26" width="9.28515625" style="5" customWidth="1"/>
    <col min="27" max="16384" width="11.42578125" style="5"/>
  </cols>
  <sheetData>
    <row r="1" spans="2:27" s="7" customFormat="1" ht="20.25">
      <c r="B1" s="18" t="str">
        <f>Teilnehmer!B1</f>
        <v>20. Fürst von Wrede Rallye 2024</v>
      </c>
      <c r="C1" s="18"/>
      <c r="D1" s="18"/>
      <c r="E1" s="18"/>
      <c r="F1" s="18"/>
      <c r="G1" s="18"/>
      <c r="H1" s="18"/>
      <c r="I1" s="18"/>
      <c r="J1" s="18"/>
      <c r="K1" s="18"/>
      <c r="L1" s="18"/>
      <c r="M1" s="18"/>
      <c r="N1" s="18"/>
      <c r="O1" s="18"/>
      <c r="P1" s="18"/>
      <c r="Q1" s="18"/>
      <c r="R1" s="18"/>
      <c r="S1" s="18"/>
      <c r="W1" s="147"/>
      <c r="Y1" s="62"/>
      <c r="Z1" s="61" t="s">
        <v>312</v>
      </c>
      <c r="AA1" s="101" t="s">
        <v>58</v>
      </c>
    </row>
    <row r="2" spans="2:27" s="7" customFormat="1" ht="14.1" customHeight="1">
      <c r="B2" s="37"/>
      <c r="C2" s="37"/>
      <c r="D2" s="37"/>
      <c r="E2" s="37"/>
      <c r="F2" s="37"/>
      <c r="G2" s="37"/>
      <c r="H2" s="37"/>
      <c r="I2" s="37"/>
      <c r="J2" s="37"/>
      <c r="K2" s="37"/>
      <c r="L2" s="37"/>
      <c r="M2" s="37"/>
      <c r="N2" s="37"/>
      <c r="O2" s="37"/>
      <c r="P2" s="37"/>
      <c r="Q2" s="37"/>
      <c r="R2" s="37"/>
      <c r="S2" s="37"/>
      <c r="W2" s="147"/>
      <c r="X2" s="51" t="s">
        <v>18</v>
      </c>
      <c r="Y2" s="52">
        <f>Teilnehmer!$U$5</f>
        <v>0.2</v>
      </c>
      <c r="Z2" s="53">
        <f>ROUND($L$4*Y2,0.5)</f>
        <v>4</v>
      </c>
    </row>
    <row r="3" spans="2:27" ht="15" customHeight="1">
      <c r="V3" s="335" t="s">
        <v>313</v>
      </c>
      <c r="W3" s="343" t="s">
        <v>314</v>
      </c>
      <c r="X3" s="54" t="s">
        <v>26</v>
      </c>
      <c r="Y3" s="49">
        <f>Teilnehmer!$U$6</f>
        <v>0.25</v>
      </c>
      <c r="Z3" s="55">
        <f>Z2+ROUND($L$4*Y3,0.5)</f>
        <v>9</v>
      </c>
    </row>
    <row r="4" spans="2:27" ht="15.75" customHeight="1">
      <c r="E4" s="8" t="s">
        <v>315</v>
      </c>
      <c r="G4" s="8" t="s">
        <v>328</v>
      </c>
      <c r="H4" s="9" t="s">
        <v>3</v>
      </c>
      <c r="I4" s="10">
        <v>9</v>
      </c>
      <c r="L4" s="11">
        <f>COUNTA(D7:D30)</f>
        <v>20</v>
      </c>
      <c r="M4" s="8" t="s">
        <v>317</v>
      </c>
      <c r="V4" s="335"/>
      <c r="W4" s="343"/>
      <c r="X4" s="56" t="s">
        <v>33</v>
      </c>
      <c r="Y4" s="50">
        <f>Teilnehmer!$U$7</f>
        <v>0.3</v>
      </c>
      <c r="Z4" s="57">
        <f>Z3+ROUND($L$4*Y4,0.5)</f>
        <v>15</v>
      </c>
    </row>
    <row r="5" spans="2:27" ht="15" customHeight="1" thickBot="1">
      <c r="L5" s="15">
        <f>L4-Teilnehmer!P12</f>
        <v>0</v>
      </c>
      <c r="M5" s="15" t="s">
        <v>283</v>
      </c>
      <c r="V5" s="335"/>
      <c r="W5" s="343"/>
      <c r="X5" s="58" t="s">
        <v>39</v>
      </c>
      <c r="Y5" s="59" t="s">
        <v>40</v>
      </c>
      <c r="Z5" s="60"/>
    </row>
    <row r="6" spans="2:27" s="183" customFormat="1" ht="29.25">
      <c r="B6" s="19" t="s">
        <v>318</v>
      </c>
      <c r="C6" s="20" t="s">
        <v>319</v>
      </c>
      <c r="D6" s="21" t="s">
        <v>299</v>
      </c>
      <c r="E6" s="20" t="s">
        <v>4</v>
      </c>
      <c r="F6" s="22" t="s">
        <v>5</v>
      </c>
      <c r="G6" s="20" t="s">
        <v>6</v>
      </c>
      <c r="H6" s="20" t="s">
        <v>7</v>
      </c>
      <c r="I6" s="22" t="s">
        <v>5</v>
      </c>
      <c r="J6" s="20" t="s">
        <v>6</v>
      </c>
      <c r="K6" s="20" t="s">
        <v>8</v>
      </c>
      <c r="L6" s="22" t="s">
        <v>320</v>
      </c>
      <c r="M6" s="22" t="s">
        <v>321</v>
      </c>
      <c r="N6" s="22" t="s">
        <v>322</v>
      </c>
      <c r="O6" s="22" t="s">
        <v>323</v>
      </c>
      <c r="P6" s="22" t="s">
        <v>324</v>
      </c>
      <c r="Q6" s="22" t="s">
        <v>325</v>
      </c>
      <c r="R6" s="236" t="s">
        <v>297</v>
      </c>
      <c r="S6" s="240" t="s">
        <v>326</v>
      </c>
      <c r="T6" s="238" t="s">
        <v>327</v>
      </c>
      <c r="V6" s="335"/>
      <c r="W6" s="343"/>
      <c r="X6" s="204"/>
    </row>
    <row r="7" spans="2:27" s="197" customFormat="1" ht="27.75" customHeight="1">
      <c r="B7" s="188">
        <v>1</v>
      </c>
      <c r="C7" s="190" t="str">
        <f>IF(ISBLANK(D7),"",IF(B7&lt;=$Z$2,"G",IF(AND(B7&gt;$Z$2,B7&lt;=$Z$3),"S",IF(AND(B7&gt;$Z$3,B7&lt;=$Z$4),"B","E"))))</f>
        <v>G</v>
      </c>
      <c r="D7" s="205">
        <v>26</v>
      </c>
      <c r="E7" s="181" t="str">
        <f>IF(ISBLANK($D7),"",VLOOKUP($D7,Teilnehmer!$B$4:$K$199,4,0))</f>
        <v>Hammel Daniel</v>
      </c>
      <c r="F7" s="181" t="str">
        <f>IF(ISBLANK($D7),"",VLOOKUP($D7,Teilnehmer!$B$4:$K$199,5,0))</f>
        <v>-</v>
      </c>
      <c r="G7" s="192" t="str">
        <f>IF(ISBLANK($D7),"",VLOOKUP($D7,Teilnehmer!$B$4:$K$199,6,0))</f>
        <v>HMC Öhringen</v>
      </c>
      <c r="H7" s="181" t="str">
        <f>IF(ISBLANK($D7),"",VLOOKUP($D7,Teilnehmer!$B$4:$K$199,7,0))</f>
        <v>Klotz Matthias</v>
      </c>
      <c r="I7" s="181" t="str">
        <f>IF(ISBLANK($D7),"",VLOOKUP($D7,Teilnehmer!$B$4:$K$199,8,0))</f>
        <v>-</v>
      </c>
      <c r="J7" s="192" t="str">
        <f>IF(ISBLANK($D7),"",VLOOKUP($D7,Teilnehmer!$B$4:$K$199,9,0))</f>
        <v>-</v>
      </c>
      <c r="K7" s="206" t="str">
        <f>IF(ISBLANK($D7),"",VLOOKUP($D7,Teilnehmer!$B$4:$K$199,10,0))</f>
        <v>Honda Civic Type-R FN2</v>
      </c>
      <c r="L7" s="207">
        <f>IF(ISBLANK($D7),"",VLOOKUP($D7,'Ausgabe Zeiten'!M:AV,4,0))</f>
        <v>3.5798611111110823E-3</v>
      </c>
      <c r="M7" s="207">
        <f>IF(ISBLANK($D7),"",VLOOKUP($D7,'Ausgabe Zeiten'!M:AV,9,0))</f>
        <v>4.2652777777778539E-3</v>
      </c>
      <c r="N7" s="207">
        <f>IF(ISBLANK($D7),"",VLOOKUP($D7,'Ausgabe Zeiten'!M:AV,14,0))</f>
        <v>3.5771990740740556E-3</v>
      </c>
      <c r="O7" s="207">
        <f>IF(ISBLANK($D7),"",VLOOKUP($D7,'Ausgabe Zeiten'!M:AV,19,0))</f>
        <v>4.1717592592592778E-3</v>
      </c>
      <c r="P7" s="207">
        <f>IF(ISBLANK($D7),"",VLOOKUP($D7,'Ausgabe Zeiten'!M:AV,24,0))</f>
        <v>3.607638888888931E-3</v>
      </c>
      <c r="Q7" s="207">
        <f>IF(ISBLANK($D7),"",VLOOKUP($D7,'Ausgabe Zeiten'!M:AV,29,0))</f>
        <v>0</v>
      </c>
      <c r="R7" s="237">
        <f>IF(ISBLANK($D7),"",VLOOKUP($D7,'Ausgabe Zeiten'!M:AV,35,0))</f>
        <v>0</v>
      </c>
      <c r="S7" s="241">
        <f>IF(ISBLANK($D7),"",VLOOKUP($D7,'Ausgabe Zeiten'!M:AV,36,0))</f>
        <v>1.9201736111111201E-2</v>
      </c>
      <c r="T7" s="239">
        <f t="shared" ref="T7" si="0">IF(ISBLANK(D7),"",ROUND((23-20*(B7-1)/$L$4),2))</f>
        <v>23</v>
      </c>
      <c r="V7" s="208" t="str">
        <f t="shared" ref="V7:V26" si="1">IF(ISBLANK($D7),"",IF(S7-SUM(L7:R7)=0,"ok","X"))</f>
        <v>ok</v>
      </c>
      <c r="W7" s="198" t="str">
        <f t="shared" ref="W7:X23" si="2">IF(ISBLANK($D7),"",IF(S8&gt;S7,"ok","Sortierung A bis Z"))</f>
        <v>ok</v>
      </c>
      <c r="X7" s="208"/>
    </row>
    <row r="8" spans="2:27" s="197" customFormat="1" ht="27.75" customHeight="1">
      <c r="B8" s="188">
        <f>IF(ISBLANK(D8),"",B7+1)</f>
        <v>2</v>
      </c>
      <c r="C8" s="190" t="str">
        <f>IF(ISBLANK(D8),"",IF(B8&lt;=$Z$2,"G",IF(AND(B8&gt;$Z$2,B8&lt;=$Z$3),"S",IF(AND(B8&gt;$Z$3,B8&lt;=$Z$4),"B","E"))))</f>
        <v>G</v>
      </c>
      <c r="D8" s="205">
        <v>35</v>
      </c>
      <c r="E8" s="181" t="str">
        <f>IF(ISBLANK($D8),"",VLOOKUP($D8,Teilnehmer!$B$4:$K$199,4,0))</f>
        <v>Kübler Oliver</v>
      </c>
      <c r="F8" s="181" t="str">
        <f>IF(ISBLANK($D8),"",VLOOKUP($D8,Teilnehmer!$B$4:$K$199,5,0))</f>
        <v>-</v>
      </c>
      <c r="G8" s="192" t="str">
        <f>IF(ISBLANK($D8),"",VLOOKUP($D8,Teilnehmer!$B$4:$K$199,6,0))</f>
        <v>HWRT Wohlmuthausen</v>
      </c>
      <c r="H8" s="181" t="str">
        <f>IF(ISBLANK($D8),"",VLOOKUP($D8,Teilnehmer!$B$4:$K$199,7,0))</f>
        <v>Hochhäuser Michael</v>
      </c>
      <c r="I8" s="181" t="str">
        <f>IF(ISBLANK($D8),"",VLOOKUP($D8,Teilnehmer!$B$4:$K$199,8,0))</f>
        <v>-</v>
      </c>
      <c r="J8" s="192" t="str">
        <f>IF(ISBLANK($D8),"",VLOOKUP($D8,Teilnehmer!$B$4:$K$199,9,0))</f>
        <v>HWRT Wohlmuthausen</v>
      </c>
      <c r="K8" s="206" t="str">
        <f>IF(ISBLANK($D8),"",VLOOKUP($D8,Teilnehmer!$B$4:$K$199,10,0))</f>
        <v>BMW E30 318is</v>
      </c>
      <c r="L8" s="207">
        <f>IF(ISBLANK($D8),"",VLOOKUP($D8,'Ausgabe Zeiten'!M:AV,4,0))</f>
        <v>3.7162037037037354E-3</v>
      </c>
      <c r="M8" s="207">
        <f>IF(ISBLANK($D8),"",VLOOKUP($D8,'Ausgabe Zeiten'!M:AV,9,0))</f>
        <v>4.2950231481482248E-3</v>
      </c>
      <c r="N8" s="207">
        <f>IF(ISBLANK($D8),"",VLOOKUP($D8,'Ausgabe Zeiten'!M:AV,14,0))</f>
        <v>3.6231481481481254E-3</v>
      </c>
      <c r="O8" s="207">
        <f>IF(ISBLANK($D8),"",VLOOKUP($D8,'Ausgabe Zeiten'!M:AV,19,0))</f>
        <v>4.2078703703704035E-3</v>
      </c>
      <c r="P8" s="207">
        <f>IF(ISBLANK($D8),"",VLOOKUP($D8,'Ausgabe Zeiten'!M:AV,24,0))</f>
        <v>3.6968750000000439E-3</v>
      </c>
      <c r="Q8" s="207">
        <f>IF(ISBLANK($D8),"",VLOOKUP($D8,'Ausgabe Zeiten'!M:AV,29,0))</f>
        <v>0</v>
      </c>
      <c r="R8" s="237">
        <f>IF(ISBLANK($D8),"",VLOOKUP($D8,'Ausgabe Zeiten'!M:AV,35,0))</f>
        <v>0</v>
      </c>
      <c r="S8" s="241">
        <f>IF(ISBLANK($D8),"",VLOOKUP($D8,'Ausgabe Zeiten'!M:AV,36,0))</f>
        <v>1.9539120370370533E-2</v>
      </c>
      <c r="T8" s="239">
        <f t="shared" ref="T8:T26" si="3">IF(ISBLANK(D8),"",ROUND((23-20*(B8-1)/$L$4),2))</f>
        <v>22</v>
      </c>
      <c r="V8" s="208" t="str">
        <f t="shared" si="1"/>
        <v>ok</v>
      </c>
      <c r="W8" s="198" t="str">
        <f t="shared" si="2"/>
        <v>ok</v>
      </c>
      <c r="X8" s="208"/>
    </row>
    <row r="9" spans="2:27" s="197" customFormat="1" ht="27.75" customHeight="1">
      <c r="B9" s="188">
        <f t="shared" ref="B9:B26" si="4">IF(ISBLANK(D9),"",B8+1)</f>
        <v>3</v>
      </c>
      <c r="C9" s="190" t="str">
        <f>IF(ISBLANK(D9),"",IF(B9&lt;=$Z$2,"G",IF(AND(B9&gt;$Z$2,B9&lt;=$Z$3),"S",IF(AND(B9&gt;$Z$3,B9&lt;=$Z$4),"B","E"))))</f>
        <v>G</v>
      </c>
      <c r="D9" s="205">
        <v>33</v>
      </c>
      <c r="E9" s="181" t="str">
        <f>IF(ISBLANK($D9),"",VLOOKUP($D9,Teilnehmer!$B$4:$K$199,4,0))</f>
        <v>Kohler Sven</v>
      </c>
      <c r="F9" s="181" t="str">
        <f>IF(ISBLANK($D9),"",VLOOKUP($D9,Teilnehmer!$B$4:$K$199,5,0))</f>
        <v>-</v>
      </c>
      <c r="G9" s="192" t="str">
        <f>IF(ISBLANK($D9),"",VLOOKUP($D9,Teilnehmer!$B$4:$K$199,6,0))</f>
        <v>RC Pommes</v>
      </c>
      <c r="H9" s="181" t="str">
        <f>IF(ISBLANK($D9),"",VLOOKUP($D9,Teilnehmer!$B$4:$K$199,7,0))</f>
        <v>Hinrichs Anna</v>
      </c>
      <c r="I9" s="181">
        <f>IF(ISBLANK($D9),"",VLOOKUP($D9,Teilnehmer!$B$4:$K$199,8,0))</f>
        <v>15287</v>
      </c>
      <c r="J9" s="192" t="str">
        <f>IF(ISBLANK($D9),"",VLOOKUP($D9,Teilnehmer!$B$4:$K$199,9,0))</f>
        <v>RG Ga(a)s</v>
      </c>
      <c r="K9" s="206" t="str">
        <f>IF(ISBLANK($D9),"",VLOOKUP($D9,Teilnehmer!$B$4:$K$199,10,0))</f>
        <v>BMW E30 320is</v>
      </c>
      <c r="L9" s="207">
        <f>IF(ISBLANK($D9),"",VLOOKUP($D9,'Ausgabe Zeiten'!M:AV,4,0))</f>
        <v>3.6623842592592437E-3</v>
      </c>
      <c r="M9" s="207">
        <f>IF(ISBLANK($D9),"",VLOOKUP($D9,'Ausgabe Zeiten'!M:AV,9,0))</f>
        <v>4.2193287037037841E-3</v>
      </c>
      <c r="N9" s="207">
        <f>IF(ISBLANK($D9),"",VLOOKUP($D9,'Ausgabe Zeiten'!M:AV,14,0))</f>
        <v>3.6251157407406476E-3</v>
      </c>
      <c r="O9" s="207">
        <f>IF(ISBLANK($D9),"",VLOOKUP($D9,'Ausgabe Zeiten'!M:AV,19,0))</f>
        <v>4.1174768518519311E-3</v>
      </c>
      <c r="P9" s="207">
        <f>IF(ISBLANK($D9),"",VLOOKUP($D9,'Ausgabe Zeiten'!M:AV,24,0))</f>
        <v>3.583449074074152E-3</v>
      </c>
      <c r="Q9" s="207">
        <f>IF(ISBLANK($D9),"",VLOOKUP($D9,'Ausgabe Zeiten'!M:AV,29,0))</f>
        <v>0</v>
      </c>
      <c r="R9" s="237">
        <f>IF(ISBLANK($D9),"",VLOOKUP($D9,'Ausgabe Zeiten'!M:AV,35,0))</f>
        <v>3.4722222222222224E-4</v>
      </c>
      <c r="S9" s="241">
        <f>IF(ISBLANK($D9),"",VLOOKUP($D9,'Ausgabe Zeiten'!M:AV,36,0))</f>
        <v>1.955497685185198E-2</v>
      </c>
      <c r="T9" s="239">
        <f t="shared" si="3"/>
        <v>21</v>
      </c>
      <c r="V9" s="208" t="str">
        <f t="shared" si="1"/>
        <v>ok</v>
      </c>
      <c r="W9" s="198" t="str">
        <f t="shared" si="2"/>
        <v>ok</v>
      </c>
      <c r="X9" s="208"/>
    </row>
    <row r="10" spans="2:27" s="197" customFormat="1" ht="27.75" customHeight="1">
      <c r="B10" s="188">
        <f t="shared" si="4"/>
        <v>4</v>
      </c>
      <c r="C10" s="190" t="str">
        <f>IF(ISBLANK(D10),"",IF(B10&lt;=$Z$2,"G",IF(AND(B10&gt;$Z$2,B10&lt;=$Z$3),"S",IF(AND(B10&gt;$Z$3,B10&lt;=$Z$4),"B","E"))))</f>
        <v>G</v>
      </c>
      <c r="D10" s="205">
        <v>21</v>
      </c>
      <c r="E10" s="181" t="str">
        <f>IF(ISBLANK($D10),"",VLOOKUP($D10,Teilnehmer!$B$4:$K$199,4,0))</f>
        <v>Bader Steffen</v>
      </c>
      <c r="F10" s="181">
        <f>IF(ISBLANK($D10),"",VLOOKUP($D10,Teilnehmer!$B$4:$K$199,5,0))</f>
        <v>16280</v>
      </c>
      <c r="G10" s="192" t="str">
        <f>IF(ISBLANK($D10),"",VLOOKUP($D10,Teilnehmer!$B$4:$K$199,6,0))</f>
        <v>-</v>
      </c>
      <c r="H10" s="181" t="str">
        <f>IF(ISBLANK($D10),"",VLOOKUP($D10,Teilnehmer!$B$4:$K$199,7,0))</f>
        <v>Laib Dieter</v>
      </c>
      <c r="I10" s="181">
        <f>IF(ISBLANK($D10),"",VLOOKUP($D10,Teilnehmer!$B$4:$K$199,8,0))</f>
        <v>16284</v>
      </c>
      <c r="J10" s="192" t="str">
        <f>IF(ISBLANK($D10),"",VLOOKUP($D10,Teilnehmer!$B$4:$K$199,9,0))</f>
        <v>-</v>
      </c>
      <c r="K10" s="206" t="str">
        <f>IF(ISBLANK($D10),"",VLOOKUP($D10,Teilnehmer!$B$4:$K$199,10,0))</f>
        <v>Opel Kadett C</v>
      </c>
      <c r="L10" s="207">
        <f>IF(ISBLANK($D10),"",VLOOKUP($D10,'Ausgabe Zeiten'!M:AV,4,0))</f>
        <v>3.6368055555555667E-3</v>
      </c>
      <c r="M10" s="207">
        <f>IF(ISBLANK($D10),"",VLOOKUP($D10,'Ausgabe Zeiten'!M:AV,9,0))</f>
        <v>4.4479166666665515E-3</v>
      </c>
      <c r="N10" s="207">
        <f>IF(ISBLANK($D10),"",VLOOKUP($D10,'Ausgabe Zeiten'!M:AV,14,0))</f>
        <v>3.6105324074073852E-3</v>
      </c>
      <c r="O10" s="207">
        <f>IF(ISBLANK($D10),"",VLOOKUP($D10,'Ausgabe Zeiten'!M:AV,19,0))</f>
        <v>4.2440972222221873E-3</v>
      </c>
      <c r="P10" s="207">
        <f>IF(ISBLANK($D10),"",VLOOKUP($D10,'Ausgabe Zeiten'!M:AV,24,0))</f>
        <v>3.6539351851850865E-3</v>
      </c>
      <c r="Q10" s="207">
        <f>IF(ISBLANK($D10),"",VLOOKUP($D10,'Ausgabe Zeiten'!M:AV,29,0))</f>
        <v>0</v>
      </c>
      <c r="R10" s="237">
        <f>IF(ISBLANK($D10),"",VLOOKUP($D10,'Ausgabe Zeiten'!M:AV,35,0))</f>
        <v>0</v>
      </c>
      <c r="S10" s="241">
        <f>IF(ISBLANK($D10),"",VLOOKUP($D10,'Ausgabe Zeiten'!M:AV,36,0))</f>
        <v>1.9593287037036777E-2</v>
      </c>
      <c r="T10" s="239">
        <f t="shared" si="3"/>
        <v>20</v>
      </c>
      <c r="V10" s="208" t="str">
        <f t="shared" si="1"/>
        <v>ok</v>
      </c>
      <c r="W10" s="198" t="str">
        <f t="shared" si="2"/>
        <v>ok</v>
      </c>
      <c r="X10" s="208"/>
    </row>
    <row r="11" spans="2:27" s="197" customFormat="1" ht="27.75" customHeight="1">
      <c r="B11" s="188">
        <f t="shared" si="4"/>
        <v>5</v>
      </c>
      <c r="C11" s="190" t="str">
        <f>IF(ISBLANK(D11),"",IF(B11&lt;=$Z$2,"G",IF(AND(B11&gt;$Z$2,B11&lt;=$Z$3),"S",IF(AND(B11&gt;$Z$3,B11&lt;=$Z$4),"B","E"))))</f>
        <v>S</v>
      </c>
      <c r="D11" s="205">
        <v>25</v>
      </c>
      <c r="E11" s="181" t="str">
        <f>IF(ISBLANK($D11),"",VLOOKUP($D11,Teilnehmer!$B$4:$K$199,4,0))</f>
        <v>Wünsch Oliver</v>
      </c>
      <c r="F11" s="181">
        <f>IF(ISBLANK($D11),"",VLOOKUP($D11,Teilnehmer!$B$4:$K$199,5,0))</f>
        <v>15506</v>
      </c>
      <c r="G11" s="192" t="str">
        <f>IF(ISBLANK($D11),"",VLOOKUP($D11,Teilnehmer!$B$4:$K$199,6,0))</f>
        <v>Scuderia Offenbach / Orange Motorsport</v>
      </c>
      <c r="H11" s="181" t="str">
        <f>IF(ISBLANK($D11),"",VLOOKUP($D11,Teilnehmer!$B$4:$K$199,7,0))</f>
        <v>Manger Moritz</v>
      </c>
      <c r="I11" s="181" t="str">
        <f>IF(ISBLANK($D11),"",VLOOKUP($D11,Teilnehmer!$B$4:$K$199,8,0))</f>
        <v>-</v>
      </c>
      <c r="J11" s="192" t="str">
        <f>IF(ISBLANK($D11),"",VLOOKUP($D11,Teilnehmer!$B$4:$K$199,9,0))</f>
        <v>Scuderia Offenbach</v>
      </c>
      <c r="K11" s="206" t="str">
        <f>IF(ISBLANK($D11),"",VLOOKUP($D11,Teilnehmer!$B$4:$K$199,10,0))</f>
        <v>VW Golf II GTI 16V</v>
      </c>
      <c r="L11" s="207">
        <f>IF(ISBLANK($D11),"",VLOOKUP($D11,'Ausgabe Zeiten'!M:AV,4,0))</f>
        <v>3.7134259259259395E-3</v>
      </c>
      <c r="M11" s="207">
        <f>IF(ISBLANK($D11),"",VLOOKUP($D11,'Ausgabe Zeiten'!M:AV,9,0))</f>
        <v>4.3178240740742169E-3</v>
      </c>
      <c r="N11" s="207">
        <f>IF(ISBLANK($D11),"",VLOOKUP($D11,'Ausgabe Zeiten'!M:AV,14,0))</f>
        <v>3.6600694444445248E-3</v>
      </c>
      <c r="O11" s="207">
        <f>IF(ISBLANK($D11),"",VLOOKUP($D11,'Ausgabe Zeiten'!M:AV,19,0))</f>
        <v>4.2069444444444715E-3</v>
      </c>
      <c r="P11" s="207">
        <f>IF(ISBLANK($D11),"",VLOOKUP($D11,'Ausgabe Zeiten'!M:AV,24,0))</f>
        <v>3.6913194444444519E-3</v>
      </c>
      <c r="Q11" s="207">
        <f>IF(ISBLANK($D11),"",VLOOKUP($D11,'Ausgabe Zeiten'!M:AV,29,0))</f>
        <v>0</v>
      </c>
      <c r="R11" s="237">
        <f>IF(ISBLANK($D11),"",VLOOKUP($D11,'Ausgabe Zeiten'!M:AV,35,0))</f>
        <v>3.4722222222222224E-4</v>
      </c>
      <c r="S11" s="241">
        <f>IF(ISBLANK($D11),"",VLOOKUP($D11,'Ausgabe Zeiten'!M:AV,36,0))</f>
        <v>1.9936805555555825E-2</v>
      </c>
      <c r="T11" s="239">
        <f t="shared" si="3"/>
        <v>19</v>
      </c>
      <c r="V11" s="208" t="str">
        <f t="shared" si="1"/>
        <v>ok</v>
      </c>
      <c r="W11" s="198" t="str">
        <f t="shared" si="2"/>
        <v>ok</v>
      </c>
      <c r="X11" s="208"/>
    </row>
    <row r="12" spans="2:27" s="197" customFormat="1" ht="27.75" customHeight="1">
      <c r="B12" s="188">
        <f t="shared" si="4"/>
        <v>6</v>
      </c>
      <c r="C12" s="190" t="str">
        <f>IF(ISBLANK(D12),"",IF(B12&lt;=$Z$2,"G",IF(AND(B12&gt;$Z$2,B12&lt;=$Z$3),"S",IF(AND(B12&gt;$Z$3,B12&lt;=$Z$4),"B","E"))))</f>
        <v>S</v>
      </c>
      <c r="D12" s="205">
        <v>34</v>
      </c>
      <c r="E12" s="181" t="str">
        <f>IF(ISBLANK($D12),"",VLOOKUP($D12,Teilnehmer!$B$4:$K$199,4,0))</f>
        <v>Kohler Erhard</v>
      </c>
      <c r="F12" s="181" t="str">
        <f>IF(ISBLANK($D12),"",VLOOKUP($D12,Teilnehmer!$B$4:$K$199,5,0))</f>
        <v>-</v>
      </c>
      <c r="G12" s="192" t="str">
        <f>IF(ISBLANK($D12),"",VLOOKUP($D12,Teilnehmer!$B$4:$K$199,6,0))</f>
        <v>RC Pommes</v>
      </c>
      <c r="H12" s="181" t="str">
        <f>IF(ISBLANK($D12),"",VLOOKUP($D12,Teilnehmer!$B$4:$K$199,7,0))</f>
        <v>Kohler Maren</v>
      </c>
      <c r="I12" s="181" t="str">
        <f>IF(ISBLANK($D12),"",VLOOKUP($D12,Teilnehmer!$B$4:$K$199,8,0))</f>
        <v>-</v>
      </c>
      <c r="J12" s="192" t="str">
        <f>IF(ISBLANK($D12),"",VLOOKUP($D12,Teilnehmer!$B$4:$K$199,9,0))</f>
        <v>RC Pommes</v>
      </c>
      <c r="K12" s="206" t="str">
        <f>IF(ISBLANK($D12),"",VLOOKUP($D12,Teilnehmer!$B$4:$K$199,10,0))</f>
        <v>BMW E30 318is</v>
      </c>
      <c r="L12" s="207">
        <f>IF(ISBLANK($D12),"",VLOOKUP($D12,'Ausgabe Zeiten'!M:AV,4,0))</f>
        <v>3.6577546296295838E-3</v>
      </c>
      <c r="M12" s="207">
        <f>IF(ISBLANK($D12),"",VLOOKUP($D12,'Ausgabe Zeiten'!M:AV,9,0))</f>
        <v>4.2973379629629438E-3</v>
      </c>
      <c r="N12" s="207">
        <f>IF(ISBLANK($D12),"",VLOOKUP($D12,'Ausgabe Zeiten'!M:AV,14,0))</f>
        <v>3.6133101851852922E-3</v>
      </c>
      <c r="O12" s="207">
        <f>IF(ISBLANK($D12),"",VLOOKUP($D12,'Ausgabe Zeiten'!M:AV,19,0))</f>
        <v>4.2137731481480811E-3</v>
      </c>
      <c r="P12" s="207">
        <f>IF(ISBLANK($D12),"",VLOOKUP($D12,'Ausgabe Zeiten'!M:AV,24,0))</f>
        <v>3.6393518518518242E-3</v>
      </c>
      <c r="Q12" s="207">
        <f>IF(ISBLANK($D12),"",VLOOKUP($D12,'Ausgabe Zeiten'!M:AV,29,0))</f>
        <v>0</v>
      </c>
      <c r="R12" s="237">
        <f>IF(ISBLANK($D12),"",VLOOKUP($D12,'Ausgabe Zeiten'!M:AV,35,0))</f>
        <v>6.9444444444444447E-4</v>
      </c>
      <c r="S12" s="241">
        <f>IF(ISBLANK($D12),"",VLOOKUP($D12,'Ausgabe Zeiten'!M:AV,36,0))</f>
        <v>2.0115972222222171E-2</v>
      </c>
      <c r="T12" s="239">
        <f t="shared" si="3"/>
        <v>18</v>
      </c>
      <c r="V12" s="208" t="str">
        <f t="shared" si="1"/>
        <v>ok</v>
      </c>
      <c r="W12" s="198" t="str">
        <f t="shared" si="2"/>
        <v>ok</v>
      </c>
      <c r="X12" s="208"/>
    </row>
    <row r="13" spans="2:27" s="197" customFormat="1" ht="27.75" customHeight="1">
      <c r="B13" s="188">
        <f t="shared" si="4"/>
        <v>7</v>
      </c>
      <c r="C13" s="190" t="str">
        <f>IF(ISBLANK(D13),"",IF(B13&lt;=$Z$2,"G",IF(AND(B13&gt;$Z$2,B13&lt;=$Z$3),"S",IF(AND(B13&gt;$Z$3,B13&lt;=$Z$4),"B","E"))))</f>
        <v>S</v>
      </c>
      <c r="D13" s="205">
        <v>31</v>
      </c>
      <c r="E13" s="181" t="str">
        <f>IF(ISBLANK($D13),"",VLOOKUP($D13,Teilnehmer!$B$4:$K$199,4,0))</f>
        <v>Jäger Dirk</v>
      </c>
      <c r="F13" s="181" t="str">
        <f>IF(ISBLANK($D13),"",VLOOKUP($D13,Teilnehmer!$B$4:$K$199,5,0))</f>
        <v>-</v>
      </c>
      <c r="G13" s="192" t="str">
        <f>IF(ISBLANK($D13),"",VLOOKUP($D13,Teilnehmer!$B$4:$K$199,6,0))</f>
        <v>MSC Kitzbühel</v>
      </c>
      <c r="H13" s="181" t="str">
        <f>IF(ISBLANK($D13),"",VLOOKUP($D13,Teilnehmer!$B$4:$K$199,7,0))</f>
        <v>Hofmann Angela</v>
      </c>
      <c r="I13" s="181" t="str">
        <f>IF(ISBLANK($D13),"",VLOOKUP($D13,Teilnehmer!$B$4:$K$199,8,0))</f>
        <v>-</v>
      </c>
      <c r="J13" s="192" t="str">
        <f>IF(ISBLANK($D13),"",VLOOKUP($D13,Teilnehmer!$B$4:$K$199,9,0))</f>
        <v>-</v>
      </c>
      <c r="K13" s="206" t="str">
        <f>IF(ISBLANK($D13),"",VLOOKUP($D13,Teilnehmer!$B$4:$K$199,10,0))</f>
        <v>BMW 318is</v>
      </c>
      <c r="L13" s="207">
        <f>IF(ISBLANK($D13),"",VLOOKUP($D13,'Ausgabe Zeiten'!M:AV,4,0))</f>
        <v>4.0738425925925248E-3</v>
      </c>
      <c r="M13" s="207">
        <f>IF(ISBLANK($D13),"",VLOOKUP($D13,'Ausgabe Zeiten'!M:AV,9,0))</f>
        <v>4.4571759259259824E-3</v>
      </c>
      <c r="N13" s="207">
        <f>IF(ISBLANK($D13),"",VLOOKUP($D13,'Ausgabe Zeiten'!M:AV,14,0))</f>
        <v>3.8745370370371068E-3</v>
      </c>
      <c r="O13" s="207">
        <f>IF(ISBLANK($D13),"",VLOOKUP($D13,'Ausgabe Zeiten'!M:AV,19,0))</f>
        <v>4.3805555555554987E-3</v>
      </c>
      <c r="P13" s="207">
        <f>IF(ISBLANK($D13),"",VLOOKUP($D13,'Ausgabe Zeiten'!M:AV,24,0))</f>
        <v>3.8059027777778143E-3</v>
      </c>
      <c r="Q13" s="207">
        <f>IF(ISBLANK($D13),"",VLOOKUP($D13,'Ausgabe Zeiten'!M:AV,29,0))</f>
        <v>0</v>
      </c>
      <c r="R13" s="237">
        <f>IF(ISBLANK($D13),"",VLOOKUP($D13,'Ausgabe Zeiten'!M:AV,35,0))</f>
        <v>0</v>
      </c>
      <c r="S13" s="241">
        <f>IF(ISBLANK($D13),"",VLOOKUP($D13,'Ausgabe Zeiten'!M:AV,36,0))</f>
        <v>2.0592013888888927E-2</v>
      </c>
      <c r="T13" s="239">
        <f t="shared" si="3"/>
        <v>17</v>
      </c>
      <c r="V13" s="208" t="str">
        <f t="shared" si="1"/>
        <v>ok</v>
      </c>
      <c r="W13" s="198" t="str">
        <f t="shared" si="2"/>
        <v>ok</v>
      </c>
      <c r="X13" s="208"/>
    </row>
    <row r="14" spans="2:27" s="197" customFormat="1" ht="27.75" customHeight="1">
      <c r="B14" s="188">
        <f t="shared" si="4"/>
        <v>8</v>
      </c>
      <c r="C14" s="190" t="str">
        <f>IF(ISBLANK(D14),"",IF(B14&lt;=$Z$2,"G",IF(AND(B14&gt;$Z$2,B14&lt;=$Z$3),"S",IF(AND(B14&gt;$Z$3,B14&lt;=$Z$4),"B","E"))))</f>
        <v>S</v>
      </c>
      <c r="D14" s="205">
        <v>20</v>
      </c>
      <c r="E14" s="181" t="str">
        <f>IF(ISBLANK($D14),"",VLOOKUP($D14,Teilnehmer!$B$4:$K$199,4,0))</f>
        <v>Russ Armin</v>
      </c>
      <c r="F14" s="181">
        <f>IF(ISBLANK($D14),"",VLOOKUP($D14,Teilnehmer!$B$4:$K$199,5,0))</f>
        <v>15958</v>
      </c>
      <c r="G14" s="192" t="str">
        <f>IF(ISBLANK($D14),"",VLOOKUP($D14,Teilnehmer!$B$4:$K$199,6,0))</f>
        <v>MSC Untergröningen / MC Einsingen</v>
      </c>
      <c r="H14" s="181" t="str">
        <f>IF(ISBLANK($D14),"",VLOOKUP($D14,Teilnehmer!$B$4:$K$199,7,0))</f>
        <v>Hess Sarah</v>
      </c>
      <c r="I14" s="181">
        <f>IF(ISBLANK($D14),"",VLOOKUP($D14,Teilnehmer!$B$4:$K$199,8,0))</f>
        <v>16275</v>
      </c>
      <c r="J14" s="192" t="str">
        <f>IF(ISBLANK($D14),"",VLOOKUP($D14,Teilnehmer!$B$4:$K$199,9,0))</f>
        <v>-</v>
      </c>
      <c r="K14" s="206" t="str">
        <f>IF(ISBLANK($D14),"",VLOOKUP($D14,Teilnehmer!$B$4:$K$199,10,0))</f>
        <v>BMW E30 318is</v>
      </c>
      <c r="L14" s="207">
        <f>IF(ISBLANK($D14),"",VLOOKUP($D14,'Ausgabe Zeiten'!M:AV,4,0))</f>
        <v>4.0361111111111292E-3</v>
      </c>
      <c r="M14" s="207">
        <f>IF(ISBLANK($D14),"",VLOOKUP($D14,'Ausgabe Zeiten'!M:AV,9,0))</f>
        <v>4.5346064814815179E-3</v>
      </c>
      <c r="N14" s="207">
        <f>IF(ISBLANK($D14),"",VLOOKUP($D14,'Ausgabe Zeiten'!M:AV,14,0))</f>
        <v>3.9135416666665757E-3</v>
      </c>
      <c r="O14" s="207">
        <f>IF(ISBLANK($D14),"",VLOOKUP($D14,'Ausgabe Zeiten'!M:AV,19,0))</f>
        <v>4.3368055555554896E-3</v>
      </c>
      <c r="P14" s="207">
        <f>IF(ISBLANK($D14),"",VLOOKUP($D14,'Ausgabe Zeiten'!M:AV,24,0))</f>
        <v>3.9406250000000309E-3</v>
      </c>
      <c r="Q14" s="207">
        <f>IF(ISBLANK($D14),"",VLOOKUP($D14,'Ausgabe Zeiten'!M:AV,29,0))</f>
        <v>0</v>
      </c>
      <c r="R14" s="237">
        <f>IF(ISBLANK($D14),"",VLOOKUP($D14,'Ausgabe Zeiten'!M:AV,35,0))</f>
        <v>0</v>
      </c>
      <c r="S14" s="241">
        <f>IF(ISBLANK($D14),"",VLOOKUP($D14,'Ausgabe Zeiten'!M:AV,36,0))</f>
        <v>2.0761689814814743E-2</v>
      </c>
      <c r="T14" s="239">
        <f t="shared" si="3"/>
        <v>16</v>
      </c>
      <c r="V14" s="208" t="str">
        <f t="shared" si="1"/>
        <v>ok</v>
      </c>
      <c r="W14" s="198" t="str">
        <f t="shared" si="2"/>
        <v>ok</v>
      </c>
      <c r="X14" s="208"/>
    </row>
    <row r="15" spans="2:27" s="197" customFormat="1" ht="27.75" customHeight="1">
      <c r="B15" s="188">
        <f t="shared" si="4"/>
        <v>9</v>
      </c>
      <c r="C15" s="190" t="str">
        <f>IF(ISBLANK(D15),"",IF(B15&lt;=$Z$2,"G",IF(AND(B15&gt;$Z$2,B15&lt;=$Z$3),"S",IF(AND(B15&gt;$Z$3,B15&lt;=$Z$4),"B","E"))))</f>
        <v>S</v>
      </c>
      <c r="D15" s="205">
        <v>38</v>
      </c>
      <c r="E15" s="181" t="str">
        <f>IF(ISBLANK($D15),"",VLOOKUP($D15,Teilnehmer!$B$4:$K$199,4,0))</f>
        <v>Müller Moritz</v>
      </c>
      <c r="F15" s="181" t="str">
        <f>IF(ISBLANK($D15),"",VLOOKUP($D15,Teilnehmer!$B$4:$K$199,5,0))</f>
        <v>-</v>
      </c>
      <c r="G15" s="192" t="str">
        <f>IF(ISBLANK($D15),"",VLOOKUP($D15,Teilnehmer!$B$4:$K$199,6,0))</f>
        <v>-</v>
      </c>
      <c r="H15" s="181" t="str">
        <f>IF(ISBLANK($D15),"",VLOOKUP($D15,Teilnehmer!$B$4:$K$199,7,0))</f>
        <v>Müller Lukas</v>
      </c>
      <c r="I15" s="181" t="str">
        <f>IF(ISBLANK($D15),"",VLOOKUP($D15,Teilnehmer!$B$4:$K$199,8,0))</f>
        <v>-</v>
      </c>
      <c r="J15" s="192" t="str">
        <f>IF(ISBLANK($D15),"",VLOOKUP($D15,Teilnehmer!$B$4:$K$199,9,0))</f>
        <v>-</v>
      </c>
      <c r="K15" s="206" t="str">
        <f>IF(ISBLANK($D15),"",VLOOKUP($D15,Teilnehmer!$B$4:$K$199,10,0))</f>
        <v>Honda FN2</v>
      </c>
      <c r="L15" s="207">
        <f>IF(ISBLANK($D15),"",VLOOKUP($D15,'Ausgabe Zeiten'!M:AV,4,0))</f>
        <v>3.9589120370369657E-3</v>
      </c>
      <c r="M15" s="207">
        <f>IF(ISBLANK($D15),"",VLOOKUP($D15,'Ausgabe Zeiten'!M:AV,9,0))</f>
        <v>4.6304398148148129E-3</v>
      </c>
      <c r="N15" s="207">
        <f>IF(ISBLANK($D15),"",VLOOKUP($D15,'Ausgabe Zeiten'!M:AV,14,0))</f>
        <v>3.7840277777777542E-3</v>
      </c>
      <c r="O15" s="207">
        <f>IF(ISBLANK($D15),"",VLOOKUP($D15,'Ausgabe Zeiten'!M:AV,19,0))</f>
        <v>4.3613425925925764E-3</v>
      </c>
      <c r="P15" s="207">
        <f>IF(ISBLANK($D15),"",VLOOKUP($D15,'Ausgabe Zeiten'!M:AV,24,0))</f>
        <v>3.6978009259258648E-3</v>
      </c>
      <c r="Q15" s="207">
        <f>IF(ISBLANK($D15),"",VLOOKUP($D15,'Ausgabe Zeiten'!M:AV,29,0))</f>
        <v>0</v>
      </c>
      <c r="R15" s="237">
        <f>IF(ISBLANK($D15),"",VLOOKUP($D15,'Ausgabe Zeiten'!M:AV,35,0))</f>
        <v>3.4722222222222224E-4</v>
      </c>
      <c r="S15" s="241">
        <f>IF(ISBLANK($D15),"",VLOOKUP($D15,'Ausgabe Zeiten'!M:AV,36,0))</f>
        <v>2.0779745370370195E-2</v>
      </c>
      <c r="T15" s="239">
        <f t="shared" si="3"/>
        <v>15</v>
      </c>
      <c r="V15" s="208" t="str">
        <f t="shared" si="1"/>
        <v>ok</v>
      </c>
      <c r="W15" s="198" t="str">
        <f t="shared" si="2"/>
        <v>ok</v>
      </c>
      <c r="X15" s="208"/>
    </row>
    <row r="16" spans="2:27" s="197" customFormat="1" ht="27.75" customHeight="1">
      <c r="B16" s="188">
        <f t="shared" si="4"/>
        <v>10</v>
      </c>
      <c r="C16" s="190" t="str">
        <f>IF(ISBLANK(D16),"",IF(B16&lt;=$Z$2,"G",IF(AND(B16&gt;$Z$2,B16&lt;=$Z$3),"S",IF(AND(B16&gt;$Z$3,B16&lt;=$Z$4),"B","E"))))</f>
        <v>B</v>
      </c>
      <c r="D16" s="205">
        <v>42</v>
      </c>
      <c r="E16" s="181" t="str">
        <f>IF(ISBLANK($D16),"",VLOOKUP($D16,Teilnehmer!$B$4:$K$199,4,0))</f>
        <v>Drexler Matthias</v>
      </c>
      <c r="F16" s="181">
        <f>IF(ISBLANK($D16),"",VLOOKUP($D16,Teilnehmer!$B$4:$K$199,5,0))</f>
        <v>16648</v>
      </c>
      <c r="G16" s="192" t="str">
        <f>IF(ISBLANK($D16),"",VLOOKUP($D16,Teilnehmer!$B$4:$K$199,6,0))</f>
        <v>Rallyeteam Drexler</v>
      </c>
      <c r="H16" s="181" t="str">
        <f>IF(ISBLANK($D16),"",VLOOKUP($D16,Teilnehmer!$B$4:$K$199,7,0))</f>
        <v>Berger Daniel</v>
      </c>
      <c r="I16" s="181">
        <f>IF(ISBLANK($D16),"",VLOOKUP($D16,Teilnehmer!$B$4:$K$199,8,0))</f>
        <v>15100</v>
      </c>
      <c r="J16" s="192" t="str">
        <f>IF(ISBLANK($D16),"",VLOOKUP($D16,Teilnehmer!$B$4:$K$199,9,0))</f>
        <v>Rallyeteam Drexler</v>
      </c>
      <c r="K16" s="206" t="str">
        <f>IF(ISBLANK($D16),"",VLOOKUP($D16,Teilnehmer!$B$4:$K$199,10,0))</f>
        <v>VW Golf II</v>
      </c>
      <c r="L16" s="207">
        <f>IF(ISBLANK($D16),"",VLOOKUP($D16,'Ausgabe Zeiten'!M:AV,4,0))</f>
        <v>4.0223379629629741E-3</v>
      </c>
      <c r="M16" s="207">
        <f>IF(ISBLANK($D16),"",VLOOKUP($D16,'Ausgabe Zeiten'!M:AV,9,0))</f>
        <v>4.5358796296296466E-3</v>
      </c>
      <c r="N16" s="207">
        <f>IF(ISBLANK($D16),"",VLOOKUP($D16,'Ausgabe Zeiten'!M:AV,14,0))</f>
        <v>3.9408564814814584E-3</v>
      </c>
      <c r="O16" s="207">
        <f>IF(ISBLANK($D16),"",VLOOKUP($D16,'Ausgabe Zeiten'!M:AV,19,0))</f>
        <v>4.3768518518517707E-3</v>
      </c>
      <c r="P16" s="207">
        <f>IF(ISBLANK($D16),"",VLOOKUP($D16,'Ausgabe Zeiten'!M:AV,24,0))</f>
        <v>3.9421296296295871E-3</v>
      </c>
      <c r="Q16" s="207">
        <f>IF(ISBLANK($D16),"",VLOOKUP($D16,'Ausgabe Zeiten'!M:AV,29,0))</f>
        <v>0</v>
      </c>
      <c r="R16" s="237">
        <f>IF(ISBLANK($D16),"",VLOOKUP($D16,'Ausgabe Zeiten'!M:AV,35,0))</f>
        <v>3.4722222222222224E-4</v>
      </c>
      <c r="S16" s="241">
        <f>IF(ISBLANK($D16),"",VLOOKUP($D16,'Ausgabe Zeiten'!M:AV,36,0))</f>
        <v>2.1165277777777658E-2</v>
      </c>
      <c r="T16" s="239">
        <f t="shared" si="3"/>
        <v>14</v>
      </c>
      <c r="V16" s="208" t="str">
        <f t="shared" si="1"/>
        <v>ok</v>
      </c>
      <c r="W16" s="198" t="str">
        <f t="shared" si="2"/>
        <v>ok</v>
      </c>
      <c r="X16" s="208"/>
    </row>
    <row r="17" spans="2:24" s="197" customFormat="1" ht="27.75" customHeight="1">
      <c r="B17" s="188">
        <f t="shared" si="4"/>
        <v>11</v>
      </c>
      <c r="C17" s="190" t="str">
        <f>IF(ISBLANK(D17),"",IF(B17&lt;=$Z$2,"G",IF(AND(B17&gt;$Z$2,B17&lt;=$Z$3),"S",IF(AND(B17&gt;$Z$3,B17&lt;=$Z$4),"B","E"))))</f>
        <v>B</v>
      </c>
      <c r="D17" s="205">
        <v>32</v>
      </c>
      <c r="E17" s="181" t="str">
        <f>IF(ISBLANK($D17),"",VLOOKUP($D17,Teilnehmer!$B$4:$K$199,4,0))</f>
        <v>Litzius Kurt</v>
      </c>
      <c r="F17" s="181">
        <f>IF(ISBLANK($D17),"",VLOOKUP($D17,Teilnehmer!$B$4:$K$199,5,0))</f>
        <v>8177</v>
      </c>
      <c r="G17" s="192" t="str">
        <f>IF(ISBLANK($D17),"",VLOOKUP($D17,Teilnehmer!$B$4:$K$199,6,0))</f>
        <v>-</v>
      </c>
      <c r="H17" s="181" t="str">
        <f>IF(ISBLANK($D17),"",VLOOKUP($D17,Teilnehmer!$B$4:$K$199,7,0))</f>
        <v>Litzius Mandy</v>
      </c>
      <c r="I17" s="181">
        <f>IF(ISBLANK($D17),"",VLOOKUP($D17,Teilnehmer!$B$4:$K$199,8,0))</f>
        <v>14447</v>
      </c>
      <c r="J17" s="192" t="str">
        <f>IF(ISBLANK($D17),"",VLOOKUP($D17,Teilnehmer!$B$4:$K$199,9,0))</f>
        <v>MSC Mamming / AMC Arzbach</v>
      </c>
      <c r="K17" s="206" t="str">
        <f>IF(ISBLANK($D17),"",VLOOKUP($D17,Teilnehmer!$B$4:$K$199,10,0))</f>
        <v>Opel Kadett C Coupé</v>
      </c>
      <c r="L17" s="207">
        <f>IF(ISBLANK($D17),"",VLOOKUP($D17,'Ausgabe Zeiten'!M:AV,4,0))</f>
        <v>4.132754629629587E-3</v>
      </c>
      <c r="M17" s="207">
        <f>IF(ISBLANK($D17),"",VLOOKUP($D17,'Ausgabe Zeiten'!M:AV,9,0))</f>
        <v>4.776967592592718E-3</v>
      </c>
      <c r="N17" s="207">
        <f>IF(ISBLANK($D17),"",VLOOKUP($D17,'Ausgabe Zeiten'!M:AV,14,0))</f>
        <v>3.9892361111111274E-3</v>
      </c>
      <c r="O17" s="207">
        <f>IF(ISBLANK($D17),"",VLOOKUP($D17,'Ausgabe Zeiten'!M:AV,19,0))</f>
        <v>4.6037037037037765E-3</v>
      </c>
      <c r="P17" s="207">
        <f>IF(ISBLANK($D17),"",VLOOKUP($D17,'Ausgabe Zeiten'!M:AV,24,0))</f>
        <v>3.8699074074074469E-3</v>
      </c>
      <c r="Q17" s="207">
        <f>IF(ISBLANK($D17),"",VLOOKUP($D17,'Ausgabe Zeiten'!M:AV,29,0))</f>
        <v>0</v>
      </c>
      <c r="R17" s="237">
        <f>IF(ISBLANK($D17),"",VLOOKUP($D17,'Ausgabe Zeiten'!M:AV,35,0))</f>
        <v>0</v>
      </c>
      <c r="S17" s="241">
        <f>IF(ISBLANK($D17),"",VLOOKUP($D17,'Ausgabe Zeiten'!M:AV,36,0))</f>
        <v>2.1372569444444656E-2</v>
      </c>
      <c r="T17" s="239">
        <f t="shared" si="3"/>
        <v>13</v>
      </c>
      <c r="V17" s="208" t="str">
        <f t="shared" si="1"/>
        <v>ok</v>
      </c>
      <c r="W17" s="198" t="str">
        <f t="shared" si="2"/>
        <v>ok</v>
      </c>
      <c r="X17" s="208"/>
    </row>
    <row r="18" spans="2:24" s="197" customFormat="1" ht="27.75" customHeight="1">
      <c r="B18" s="188">
        <f t="shared" si="4"/>
        <v>12</v>
      </c>
      <c r="C18" s="190" t="str">
        <f>IF(ISBLANK(D18),"",IF(B18&lt;=$Z$2,"G",IF(AND(B18&gt;$Z$2,B18&lt;=$Z$3),"S",IF(AND(B18&gt;$Z$3,B18&lt;=$Z$4),"B","E"))))</f>
        <v>B</v>
      </c>
      <c r="D18" s="205">
        <v>37</v>
      </c>
      <c r="E18" s="181" t="str">
        <f>IF(ISBLANK($D18),"",VLOOKUP($D18,Teilnehmer!$B$4:$K$199,4,0))</f>
        <v>Kohl Bernd</v>
      </c>
      <c r="F18" s="181" t="str">
        <f>IF(ISBLANK($D18),"",VLOOKUP($D18,Teilnehmer!$B$4:$K$199,5,0))</f>
        <v>-</v>
      </c>
      <c r="G18" s="192" t="str">
        <f>IF(ISBLANK($D18),"",VLOOKUP($D18,Teilnehmer!$B$4:$K$199,6,0))</f>
        <v>ASC Wilhelmsfeld</v>
      </c>
      <c r="H18" s="181" t="str">
        <f>IF(ISBLANK($D18),"",VLOOKUP($D18,Teilnehmer!$B$4:$K$199,7,0))</f>
        <v>Oster Roland</v>
      </c>
      <c r="I18" s="181" t="str">
        <f>IF(ISBLANK($D18),"",VLOOKUP($D18,Teilnehmer!$B$4:$K$199,8,0))</f>
        <v>-</v>
      </c>
      <c r="J18" s="192" t="str">
        <f>IF(ISBLANK($D18),"",VLOOKUP($D18,Teilnehmer!$B$4:$K$199,9,0))</f>
        <v>ASC Wilhelmsfeld</v>
      </c>
      <c r="K18" s="206" t="str">
        <f>IF(ISBLANK($D18),"",VLOOKUP($D18,Teilnehmer!$B$4:$K$199,10,0))</f>
        <v>BMW E30 318 IS</v>
      </c>
      <c r="L18" s="207">
        <f>IF(ISBLANK($D18),"",VLOOKUP($D18,'Ausgabe Zeiten'!M:AV,4,0))</f>
        <v>4.0819444444444297E-3</v>
      </c>
      <c r="M18" s="207">
        <f>IF(ISBLANK($D18),"",VLOOKUP($D18,'Ausgabe Zeiten'!M:AV,9,0))</f>
        <v>4.6724537037037273E-3</v>
      </c>
      <c r="N18" s="207">
        <f>IF(ISBLANK($D18),"",VLOOKUP($D18,'Ausgabe Zeiten'!M:AV,14,0))</f>
        <v>4.0512731481481268E-3</v>
      </c>
      <c r="O18" s="207">
        <f>IF(ISBLANK($D18),"",VLOOKUP($D18,'Ausgabe Zeiten'!M:AV,19,0))</f>
        <v>4.5163194444444166E-3</v>
      </c>
      <c r="P18" s="207">
        <f>IF(ISBLANK($D18),"",VLOOKUP($D18,'Ausgabe Zeiten'!M:AV,24,0))</f>
        <v>4.0853009259258499E-3</v>
      </c>
      <c r="Q18" s="207">
        <f>IF(ISBLANK($D18),"",VLOOKUP($D18,'Ausgabe Zeiten'!M:AV,29,0))</f>
        <v>0</v>
      </c>
      <c r="R18" s="237">
        <f>IF(ISBLANK($D18),"",VLOOKUP($D18,'Ausgabe Zeiten'!M:AV,35,0))</f>
        <v>0</v>
      </c>
      <c r="S18" s="241">
        <f>IF(ISBLANK($D18),"",VLOOKUP($D18,'Ausgabe Zeiten'!M:AV,36,0))</f>
        <v>2.140729166666655E-2</v>
      </c>
      <c r="T18" s="239">
        <f t="shared" si="3"/>
        <v>12</v>
      </c>
      <c r="V18" s="208" t="str">
        <f t="shared" si="1"/>
        <v>ok</v>
      </c>
      <c r="W18" s="198" t="str">
        <f>IF(ISBLANK($D18),"",IF(S22&gt;S18,"ok","Sortierung A bis Z"))</f>
        <v>ok</v>
      </c>
      <c r="X18" s="208"/>
    </row>
    <row r="19" spans="2:24" s="197" customFormat="1" ht="27.75" customHeight="1">
      <c r="B19" s="188">
        <f t="shared" si="4"/>
        <v>13</v>
      </c>
      <c r="C19" s="190" t="str">
        <f>IF(ISBLANK(D19),"",IF(B19&lt;=$Z$2,"G",IF(AND(B19&gt;$Z$2,B19&lt;=$Z$3),"S",IF(AND(B19&gt;$Z$3,B19&lt;=$Z$4),"B","E"))))</f>
        <v>B</v>
      </c>
      <c r="D19" s="205">
        <v>22</v>
      </c>
      <c r="E19" s="181" t="str">
        <f>IF(ISBLANK($D19),"",VLOOKUP($D19,Teilnehmer!$B$4:$K$199,4,0))</f>
        <v>Schindler Thomas</v>
      </c>
      <c r="F19" s="181">
        <f>IF(ISBLANK($D19),"",VLOOKUP($D19,Teilnehmer!$B$4:$K$199,5,0))</f>
        <v>16713</v>
      </c>
      <c r="G19" s="192" t="str">
        <f>IF(ISBLANK($D19),"",VLOOKUP($D19,Teilnehmer!$B$4:$K$199,6,0))</f>
        <v>AC Gunzenhausen</v>
      </c>
      <c r="H19" s="181" t="str">
        <f>IF(ISBLANK($D19),"",VLOOKUP($D19,Teilnehmer!$B$4:$K$199,7,0))</f>
        <v>Bader Alina</v>
      </c>
      <c r="I19" s="181">
        <f>IF(ISBLANK($D19),"",VLOOKUP($D19,Teilnehmer!$B$4:$K$199,8,0))</f>
        <v>16723</v>
      </c>
      <c r="J19" s="192" t="str">
        <f>IF(ISBLANK($D19),"",VLOOKUP($D19,Teilnehmer!$B$4:$K$199,9,0))</f>
        <v>MSC Untergröningen</v>
      </c>
      <c r="K19" s="206" t="str">
        <f>IF(ISBLANK($D19),"",VLOOKUP($D19,Teilnehmer!$B$4:$K$199,10,0))</f>
        <v>Honda Civic</v>
      </c>
      <c r="L19" s="207">
        <f>IF(ISBLANK($D19),"",VLOOKUP($D19,'Ausgabe Zeiten'!M:AV,4,0))</f>
        <v>3.7876157407407685E-3</v>
      </c>
      <c r="M19" s="207" t="str">
        <f>IF(ISBLANK($D19),"",VLOOKUP($D19,'Ausgabe Zeiten'!M:AV,9,0))</f>
        <v>ADW</v>
      </c>
      <c r="N19" s="207" t="str">
        <f>IF(ISBLANK($D19),"",VLOOKUP($D19,'Ausgabe Zeiten'!M:AV,14,0))</f>
        <v>ADW</v>
      </c>
      <c r="O19" s="207" t="str">
        <f>IF(ISBLANK($D19),"",VLOOKUP($D19,'Ausgabe Zeiten'!M:AV,19,0))</f>
        <v>ADW</v>
      </c>
      <c r="P19" s="207" t="str">
        <f>IF(ISBLANK($D19),"",VLOOKUP($D19,'Ausgabe Zeiten'!M:AV,24,0))</f>
        <v>ADW</v>
      </c>
      <c r="Q19" s="207">
        <f>IF(ISBLANK($D19),"",VLOOKUP($D19,'Ausgabe Zeiten'!M:AV,29,0))</f>
        <v>0</v>
      </c>
      <c r="R19" s="237">
        <f>IF(ISBLANK($D19),"",VLOOKUP($D19,'Ausgabe Zeiten'!M:AV,35,0))</f>
        <v>0</v>
      </c>
      <c r="S19" s="241" t="str">
        <f>IF(ISBLANK($D19),"",VLOOKUP($D19,'Ausgabe Zeiten'!M:AV,36,0))</f>
        <v>ADW</v>
      </c>
      <c r="T19" s="239">
        <v>0</v>
      </c>
      <c r="V19" s="208" t="e">
        <f t="shared" si="1"/>
        <v>#VALUE!</v>
      </c>
      <c r="W19" s="198" t="str">
        <f t="shared" ref="W19:W26" si="5">IF(ISBLANK($D19),"",IF(S23&gt;S19,"ok","Sortierung A bis Z"))</f>
        <v>Sortierung A bis Z</v>
      </c>
      <c r="X19" s="208"/>
    </row>
    <row r="20" spans="2:24" s="197" customFormat="1" ht="27.75" customHeight="1">
      <c r="B20" s="188">
        <f t="shared" si="4"/>
        <v>14</v>
      </c>
      <c r="C20" s="190" t="str">
        <f>IF(ISBLANK(D20),"",IF(B20&lt;=$Z$2,"G",IF(AND(B20&gt;$Z$2,B20&lt;=$Z$3),"S",IF(AND(B20&gt;$Z$3,B20&lt;=$Z$4),"B","E"))))</f>
        <v>B</v>
      </c>
      <c r="D20" s="205">
        <v>23</v>
      </c>
      <c r="E20" s="181" t="str">
        <f>IF(ISBLANK($D20),"",VLOOKUP($D20,Teilnehmer!$B$4:$K$199,4,0))</f>
        <v>Spieß Jürgen</v>
      </c>
      <c r="F20" s="181">
        <f>IF(ISBLANK($D20),"",VLOOKUP($D20,Teilnehmer!$B$4:$K$199,5,0))</f>
        <v>12467</v>
      </c>
      <c r="G20" s="192" t="str">
        <f>IF(ISBLANK($D20),"",VLOOKUP($D20,Teilnehmer!$B$4:$K$199,6,0))</f>
        <v>MSC Mamming</v>
      </c>
      <c r="H20" s="181" t="str">
        <f>IF(ISBLANK($D20),"",VLOOKUP($D20,Teilnehmer!$B$4:$K$199,7,0))</f>
        <v>Wythe Axel</v>
      </c>
      <c r="I20" s="181">
        <f>IF(ISBLANK($D20),"",VLOOKUP($D20,Teilnehmer!$B$4:$K$199,8,0))</f>
        <v>12778</v>
      </c>
      <c r="J20" s="192" t="str">
        <f>IF(ISBLANK($D20),"",VLOOKUP($D20,Teilnehmer!$B$4:$K$199,9,0))</f>
        <v>MSC Mamming</v>
      </c>
      <c r="K20" s="206" t="str">
        <f>IF(ISBLANK($D20),"",VLOOKUP($D20,Teilnehmer!$B$4:$K$199,10,0))</f>
        <v>Opel Ascona B</v>
      </c>
      <c r="L20" s="207">
        <f>IF(ISBLANK($D20),"",VLOOKUP($D20,'Ausgabe Zeiten'!M:AV,4,0))</f>
        <v>3.9659722222221694E-3</v>
      </c>
      <c r="M20" s="207">
        <f>IF(ISBLANK($D20),"",VLOOKUP($D20,'Ausgabe Zeiten'!M:AV,9,0))</f>
        <v>1.0416666666666666E-2</v>
      </c>
      <c r="N20" s="207" t="str">
        <f>IF(ISBLANK($D20),"",VLOOKUP($D20,'Ausgabe Zeiten'!M:AV,14,0))</f>
        <v>ADW</v>
      </c>
      <c r="O20" s="207" t="str">
        <f>IF(ISBLANK($D20),"",VLOOKUP($D20,'Ausgabe Zeiten'!M:AV,19,0))</f>
        <v>ADW</v>
      </c>
      <c r="P20" s="207" t="str">
        <f>IF(ISBLANK($D20),"",VLOOKUP($D20,'Ausgabe Zeiten'!M:AV,24,0))</f>
        <v>ADW</v>
      </c>
      <c r="Q20" s="207">
        <f>IF(ISBLANK($D20),"",VLOOKUP($D20,'Ausgabe Zeiten'!M:AV,29,0))</f>
        <v>0</v>
      </c>
      <c r="R20" s="237">
        <f>IF(ISBLANK($D20),"",VLOOKUP($D20,'Ausgabe Zeiten'!M:AV,35,0))</f>
        <v>0</v>
      </c>
      <c r="S20" s="241" t="str">
        <f>IF(ISBLANK($D20),"",VLOOKUP($D20,'Ausgabe Zeiten'!M:AV,36,0))</f>
        <v>ADW</v>
      </c>
      <c r="T20" s="239">
        <v>0</v>
      </c>
      <c r="V20" s="208" t="e">
        <f t="shared" si="1"/>
        <v>#VALUE!</v>
      </c>
      <c r="W20" s="198" t="str">
        <f t="shared" si="5"/>
        <v>Sortierung A bis Z</v>
      </c>
      <c r="X20" s="208"/>
    </row>
    <row r="21" spans="2:24" s="197" customFormat="1" ht="27.75" customHeight="1">
      <c r="B21" s="188">
        <f t="shared" si="4"/>
        <v>15</v>
      </c>
      <c r="C21" s="190" t="str">
        <f>IF(ISBLANK(D21),"",IF(B21&lt;=$Z$2,"G",IF(AND(B21&gt;$Z$2,B21&lt;=$Z$3),"S",IF(AND(B21&gt;$Z$3,B21&lt;=$Z$4),"B","E"))))</f>
        <v>B</v>
      </c>
      <c r="D21" s="205">
        <v>24</v>
      </c>
      <c r="E21" s="181" t="str">
        <f>IF(ISBLANK($D21),"",VLOOKUP($D21,Teilnehmer!$B$4:$K$199,4,0))</f>
        <v>Böhringer Jochen</v>
      </c>
      <c r="F21" s="181" t="str">
        <f>IF(ISBLANK($D21),"",VLOOKUP($D21,Teilnehmer!$B$4:$K$199,5,0))</f>
        <v>-</v>
      </c>
      <c r="G21" s="192" t="str">
        <f>IF(ISBLANK($D21),"",VLOOKUP($D21,Teilnehmer!$B$4:$K$199,6,0))</f>
        <v>HWRT Wohlmuthausen</v>
      </c>
      <c r="H21" s="181" t="str">
        <f>IF(ISBLANK($D21),"",VLOOKUP($D21,Teilnehmer!$B$4:$K$199,7,0))</f>
        <v>Arnold Patrick</v>
      </c>
      <c r="I21" s="181" t="str">
        <f>IF(ISBLANK($D21),"",VLOOKUP($D21,Teilnehmer!$B$4:$K$199,8,0))</f>
        <v>-</v>
      </c>
      <c r="J21" s="192" t="str">
        <f>IF(ISBLANK($D21),"",VLOOKUP($D21,Teilnehmer!$B$4:$K$199,9,0))</f>
        <v>HWRT Wohlmuthausen</v>
      </c>
      <c r="K21" s="206" t="str">
        <f>IF(ISBLANK($D21),"",VLOOKUP($D21,Teilnehmer!$B$4:$K$199,10,0))</f>
        <v>BMW E30 - 318 IS</v>
      </c>
      <c r="L21" s="207">
        <f>IF(ISBLANK($D21),"",VLOOKUP($D21,'Ausgabe Zeiten'!M:AV,4,0))</f>
        <v>3.6307870370370088E-3</v>
      </c>
      <c r="M21" s="207">
        <f>IF(ISBLANK($D21),"",VLOOKUP($D21,'Ausgabe Zeiten'!M:AV,9,0))</f>
        <v>4.451388888888852E-3</v>
      </c>
      <c r="N21" s="207">
        <f>IF(ISBLANK($D21),"",VLOOKUP($D21,'Ausgabe Zeiten'!M:AV,14,0))</f>
        <v>3.611342592592548E-3</v>
      </c>
      <c r="O21" s="207" t="str">
        <f>IF(ISBLANK($D21),"",VLOOKUP($D21,'Ausgabe Zeiten'!M:AV,19,0))</f>
        <v>ADW</v>
      </c>
      <c r="P21" s="207" t="str">
        <f>IF(ISBLANK($D21),"",VLOOKUP($D21,'Ausgabe Zeiten'!M:AV,24,0))</f>
        <v>ADW</v>
      </c>
      <c r="Q21" s="207">
        <f>IF(ISBLANK($D21),"",VLOOKUP($D21,'Ausgabe Zeiten'!M:AV,29,0))</f>
        <v>0</v>
      </c>
      <c r="R21" s="237">
        <f>IF(ISBLANK($D21),"",VLOOKUP($D21,'Ausgabe Zeiten'!M:AV,35,0))</f>
        <v>0</v>
      </c>
      <c r="S21" s="241" t="str">
        <f>IF(ISBLANK($D21),"",VLOOKUP($D21,'Ausgabe Zeiten'!M:AV,36,0))</f>
        <v>ADW</v>
      </c>
      <c r="T21" s="239">
        <v>0</v>
      </c>
      <c r="V21" s="208" t="e">
        <f t="shared" si="1"/>
        <v>#VALUE!</v>
      </c>
      <c r="W21" s="198" t="str">
        <f t="shared" si="5"/>
        <v>Sortierung A bis Z</v>
      </c>
      <c r="X21" s="208"/>
    </row>
    <row r="22" spans="2:24" s="197" customFormat="1" ht="27.75" customHeight="1">
      <c r="B22" s="188">
        <f t="shared" si="4"/>
        <v>16</v>
      </c>
      <c r="C22" s="190" t="str">
        <f>IF(ISBLANK(D22),"",IF(B22&lt;=$Z$2,"G",IF(AND(B22&gt;$Z$2,B22&lt;=$Z$3),"S",IF(AND(B22&gt;$Z$3,B22&lt;=$Z$4),"B","E"))))</f>
        <v>E</v>
      </c>
      <c r="D22" s="205">
        <v>27</v>
      </c>
      <c r="E22" s="181" t="str">
        <f>IF(ISBLANK($D22),"",VLOOKUP($D22,Teilnehmer!$B$4:$K$199,4,0))</f>
        <v>Kögl Hans</v>
      </c>
      <c r="F22" s="181" t="str">
        <f>IF(ISBLANK($D22),"",VLOOKUP($D22,Teilnehmer!$B$4:$K$199,5,0))</f>
        <v>-</v>
      </c>
      <c r="G22" s="192" t="str">
        <f>IF(ISBLANK($D22),"",VLOOKUP($D22,Teilnehmer!$B$4:$K$199,6,0))</f>
        <v>MSF Freising</v>
      </c>
      <c r="H22" s="181" t="str">
        <f>IF(ISBLANK($D22),"",VLOOKUP($D22,Teilnehmer!$B$4:$K$199,7,0))</f>
        <v>Schwaiger Thomas</v>
      </c>
      <c r="I22" s="181" t="str">
        <f>IF(ISBLANK($D22),"",VLOOKUP($D22,Teilnehmer!$B$4:$K$199,8,0))</f>
        <v>-</v>
      </c>
      <c r="J22" s="192" t="str">
        <f>IF(ISBLANK($D22),"",VLOOKUP($D22,Teilnehmer!$B$4:$K$199,9,0))</f>
        <v>MSF Freising</v>
      </c>
      <c r="K22" s="206" t="str">
        <f>IF(ISBLANK($D22),"",VLOOKUP($D22,Teilnehmer!$B$4:$K$199,10,0))</f>
        <v>Opel Kadett E GSI</v>
      </c>
      <c r="L22" s="207">
        <f>IF(ISBLANK($D22),"",VLOOKUP($D22,'Ausgabe Zeiten'!M:AV,4,0))</f>
        <v>4.1552083333333267E-3</v>
      </c>
      <c r="M22" s="207">
        <f>IF(ISBLANK($D22),"",VLOOKUP($D22,'Ausgabe Zeiten'!M:AV,9,0))</f>
        <v>4.9431712962962893E-3</v>
      </c>
      <c r="N22" s="207" t="str">
        <f>IF(ISBLANK($D22),"",VLOOKUP($D22,'Ausgabe Zeiten'!M:AV,14,0))</f>
        <v>ADW</v>
      </c>
      <c r="O22" s="207" t="str">
        <f>IF(ISBLANK($D22),"",VLOOKUP($D22,'Ausgabe Zeiten'!M:AV,19,0))</f>
        <v>ADW</v>
      </c>
      <c r="P22" s="207" t="str">
        <f>IF(ISBLANK($D22),"",VLOOKUP($D22,'Ausgabe Zeiten'!M:AV,24,0))</f>
        <v>ADW</v>
      </c>
      <c r="Q22" s="207">
        <f>IF(ISBLANK($D22),"",VLOOKUP($D22,'Ausgabe Zeiten'!M:AV,29,0))</f>
        <v>0</v>
      </c>
      <c r="R22" s="237">
        <f>IF(ISBLANK($D22),"",VLOOKUP($D22,'Ausgabe Zeiten'!M:AV,35,0))</f>
        <v>0</v>
      </c>
      <c r="S22" s="241" t="str">
        <f>IF(ISBLANK($D22),"",VLOOKUP($D22,'Ausgabe Zeiten'!M:AV,36,0))</f>
        <v>ADW</v>
      </c>
      <c r="T22" s="239">
        <v>0</v>
      </c>
      <c r="V22" s="208" t="e">
        <f t="shared" si="1"/>
        <v>#VALUE!</v>
      </c>
      <c r="W22" s="198" t="str">
        <f t="shared" si="5"/>
        <v>Sortierung A bis Z</v>
      </c>
      <c r="X22" s="208"/>
    </row>
    <row r="23" spans="2:24" s="197" customFormat="1" ht="27.75" customHeight="1">
      <c r="B23" s="188">
        <f t="shared" si="4"/>
        <v>17</v>
      </c>
      <c r="C23" s="190" t="str">
        <f>IF(ISBLANK(D23),"",IF(B23&lt;=$Z$2,"G",IF(AND(B23&gt;$Z$2,B23&lt;=$Z$3),"S",IF(AND(B23&gt;$Z$3,B23&lt;=$Z$4),"B","E"))))</f>
        <v>E</v>
      </c>
      <c r="D23" s="205">
        <v>28</v>
      </c>
      <c r="E23" s="181" t="str">
        <f>IF(ISBLANK($D23),"",VLOOKUP($D23,Teilnehmer!$B$4:$K$199,4,0))</f>
        <v>Teves Daniel</v>
      </c>
      <c r="F23" s="181">
        <f>IF(ISBLANK($D23),"",VLOOKUP($D23,Teilnehmer!$B$4:$K$199,5,0))</f>
        <v>16640</v>
      </c>
      <c r="G23" s="192" t="str">
        <f>IF(ISBLANK($D23),"",VLOOKUP($D23,Teilnehmer!$B$4:$K$199,6,0))</f>
        <v>Taunus-Racing-Team</v>
      </c>
      <c r="H23" s="181" t="str">
        <f>IF(ISBLANK($D23),"",VLOOKUP($D23,Teilnehmer!$B$4:$K$199,7,0))</f>
        <v>Meditz Michael</v>
      </c>
      <c r="I23" s="181" t="str">
        <f>IF(ISBLANK($D23),"",VLOOKUP($D23,Teilnehmer!$B$4:$K$199,8,0))</f>
        <v>-</v>
      </c>
      <c r="J23" s="192" t="str">
        <f>IF(ISBLANK($D23),"",VLOOKUP($D23,Teilnehmer!$B$4:$K$199,9,0))</f>
        <v>-</v>
      </c>
      <c r="K23" s="206" t="str">
        <f>IF(ISBLANK($D23),"",VLOOKUP($D23,Teilnehmer!$B$4:$K$199,10,0))</f>
        <v>BMW 318 IS CUP</v>
      </c>
      <c r="L23" s="207">
        <f>IF(ISBLANK($D23),"",VLOOKUP($D23,'Ausgabe Zeiten'!M:AV,4,0))</f>
        <v>3.8771990740741336E-3</v>
      </c>
      <c r="M23" s="207">
        <f>IF(ISBLANK($D23),"",VLOOKUP($D23,'Ausgabe Zeiten'!M:AV,9,0))</f>
        <v>4.4358796296296577E-3</v>
      </c>
      <c r="N23" s="207">
        <f>IF(ISBLANK($D23),"",VLOOKUP($D23,'Ausgabe Zeiten'!M:AV,14,0))</f>
        <v>3.8653935185184451E-3</v>
      </c>
      <c r="O23" s="207">
        <f>IF(ISBLANK($D23),"",VLOOKUP($D23,'Ausgabe Zeiten'!M:AV,19,0))</f>
        <v>4.5599537037037674E-3</v>
      </c>
      <c r="P23" s="207" t="str">
        <f>IF(ISBLANK($D23),"",VLOOKUP($D23,'Ausgabe Zeiten'!M:AV,24,0))</f>
        <v>ADW</v>
      </c>
      <c r="Q23" s="207">
        <f>IF(ISBLANK($D23),"",VLOOKUP($D23,'Ausgabe Zeiten'!M:AV,29,0))</f>
        <v>0</v>
      </c>
      <c r="R23" s="237">
        <f>IF(ISBLANK($D23),"",VLOOKUP($D23,'Ausgabe Zeiten'!M:AV,35,0))</f>
        <v>3.4722222222222224E-4</v>
      </c>
      <c r="S23" s="241" t="str">
        <f>IF(ISBLANK($D23),"",VLOOKUP($D23,'Ausgabe Zeiten'!M:AV,36,0))</f>
        <v>ADW</v>
      </c>
      <c r="T23" s="239">
        <v>0</v>
      </c>
      <c r="V23" s="208" t="e">
        <f t="shared" si="1"/>
        <v>#VALUE!</v>
      </c>
      <c r="W23" s="198" t="str">
        <f t="shared" si="5"/>
        <v>Sortierung A bis Z</v>
      </c>
      <c r="X23" s="208"/>
    </row>
    <row r="24" spans="2:24" s="197" customFormat="1" ht="27.75" customHeight="1">
      <c r="B24" s="188">
        <f t="shared" si="4"/>
        <v>18</v>
      </c>
      <c r="C24" s="190" t="str">
        <f>IF(ISBLANK(D24),"",IF(B24&lt;=$Z$2,"G",IF(AND(B24&gt;$Z$2,B24&lt;=$Z$3),"S",IF(AND(B24&gt;$Z$3,B24&lt;=$Z$4),"B","E"))))</f>
        <v>E</v>
      </c>
      <c r="D24" s="205">
        <v>29</v>
      </c>
      <c r="E24" s="181" t="str">
        <f>IF(ISBLANK($D24),"",VLOOKUP($D24,Teilnehmer!$B$4:$K$199,4,0))</f>
        <v>Kraus Florian</v>
      </c>
      <c r="F24" s="181" t="str">
        <f>IF(ISBLANK($D24),"",VLOOKUP($D24,Teilnehmer!$B$4:$K$199,5,0))</f>
        <v>-</v>
      </c>
      <c r="G24" s="192" t="str">
        <f>IF(ISBLANK($D24),"",VLOOKUP($D24,Teilnehmer!$B$4:$K$199,6,0))</f>
        <v>-</v>
      </c>
      <c r="H24" s="181" t="str">
        <f>IF(ISBLANK($D24),"",VLOOKUP($D24,Teilnehmer!$B$4:$K$199,7,0))</f>
        <v>Thiel Sabrina</v>
      </c>
      <c r="I24" s="181">
        <f>IF(ISBLANK($D24),"",VLOOKUP($D24,Teilnehmer!$B$4:$K$199,8,0))</f>
        <v>14904</v>
      </c>
      <c r="J24" s="192" t="str">
        <f>IF(ISBLANK($D24),"",VLOOKUP($D24,Teilnehmer!$B$4:$K$199,9,0))</f>
        <v>MSC Jura</v>
      </c>
      <c r="K24" s="206" t="str">
        <f>IF(ISBLANK($D24),"",VLOOKUP($D24,Teilnehmer!$B$4:$K$199,10,0))</f>
        <v>VW Golf 3</v>
      </c>
      <c r="L24" s="207">
        <f>IF(ISBLANK($D24),"",VLOOKUP($D24,'Ausgabe Zeiten'!M:AV,4,0))</f>
        <v>3.7263888888888763E-3</v>
      </c>
      <c r="M24" s="207" t="str">
        <f>IF(ISBLANK($D24),"",VLOOKUP($D24,'Ausgabe Zeiten'!M:AV,9,0))</f>
        <v>ADW</v>
      </c>
      <c r="N24" s="207" t="str">
        <f>IF(ISBLANK($D24),"",VLOOKUP($D24,'Ausgabe Zeiten'!M:AV,14,0))</f>
        <v>ADW</v>
      </c>
      <c r="O24" s="207" t="str">
        <f>IF(ISBLANK($D24),"",VLOOKUP($D24,'Ausgabe Zeiten'!M:AV,19,0))</f>
        <v>ADW</v>
      </c>
      <c r="P24" s="207" t="str">
        <f>IF(ISBLANK($D24),"",VLOOKUP($D24,'Ausgabe Zeiten'!M:AV,24,0))</f>
        <v>ADW</v>
      </c>
      <c r="Q24" s="207">
        <f>IF(ISBLANK($D24),"",VLOOKUP($D24,'Ausgabe Zeiten'!M:AV,29,0))</f>
        <v>0</v>
      </c>
      <c r="R24" s="237">
        <f>IF(ISBLANK($D24),"",VLOOKUP($D24,'Ausgabe Zeiten'!M:AV,35,0))</f>
        <v>3.4722222222222224E-4</v>
      </c>
      <c r="S24" s="241" t="str">
        <f>IF(ISBLANK($D24),"",VLOOKUP($D24,'Ausgabe Zeiten'!M:AV,36,0))</f>
        <v>ADW</v>
      </c>
      <c r="T24" s="239">
        <v>0</v>
      </c>
      <c r="V24" s="208" t="e">
        <f t="shared" si="1"/>
        <v>#VALUE!</v>
      </c>
      <c r="W24" s="198" t="str">
        <f t="shared" si="5"/>
        <v>Sortierung A bis Z</v>
      </c>
      <c r="X24" s="208"/>
    </row>
    <row r="25" spans="2:24" s="197" customFormat="1" ht="27.75" customHeight="1">
      <c r="B25" s="188">
        <f t="shared" si="4"/>
        <v>19</v>
      </c>
      <c r="C25" s="190" t="str">
        <f>IF(ISBLANK(D25),"",IF(B25&lt;=$Z$2,"G",IF(AND(B25&gt;$Z$2,B25&lt;=$Z$3),"S",IF(AND(B25&gt;$Z$3,B25&lt;=$Z$4),"B","E"))))</f>
        <v>E</v>
      </c>
      <c r="D25" s="205">
        <v>30</v>
      </c>
      <c r="E25" s="181" t="str">
        <f>IF(ISBLANK($D25),"",VLOOKUP($D25,Teilnehmer!$B$4:$K$199,4,0))</f>
        <v>Röhrig Christian</v>
      </c>
      <c r="F25" s="181" t="str">
        <f>IF(ISBLANK($D25),"",VLOOKUP($D25,Teilnehmer!$B$4:$K$199,5,0))</f>
        <v>-</v>
      </c>
      <c r="G25" s="192" t="str">
        <f>IF(ISBLANK($D25),"",VLOOKUP($D25,Teilnehmer!$B$4:$K$199,6,0))</f>
        <v>MSC Zorn</v>
      </c>
      <c r="H25" s="181" t="str">
        <f>IF(ISBLANK($D25),"",VLOOKUP($D25,Teilnehmer!$B$4:$K$199,7,0))</f>
        <v>Behnke Jonas</v>
      </c>
      <c r="I25" s="181" t="str">
        <f>IF(ISBLANK($D25),"",VLOOKUP($D25,Teilnehmer!$B$4:$K$199,8,0))</f>
        <v>-</v>
      </c>
      <c r="J25" s="192" t="str">
        <f>IF(ISBLANK($D25),"",VLOOKUP($D25,Teilnehmer!$B$4:$K$199,9,0))</f>
        <v>MSC Zorn</v>
      </c>
      <c r="K25" s="206" t="str">
        <f>IF(ISBLANK($D25),"",VLOOKUP($D25,Teilnehmer!$B$4:$K$199,10,0))</f>
        <v>Peugeot 309 GTI</v>
      </c>
      <c r="L25" s="207" t="str">
        <f>IF(ISBLANK($D25),"",VLOOKUP($D25,'Ausgabe Zeiten'!M:AV,4,0))</f>
        <v>ADW</v>
      </c>
      <c r="M25" s="207" t="str">
        <f>IF(ISBLANK($D25),"",VLOOKUP($D25,'Ausgabe Zeiten'!M:AV,9,0))</f>
        <v>ADW</v>
      </c>
      <c r="N25" s="207" t="str">
        <f>IF(ISBLANK($D25),"",VLOOKUP($D25,'Ausgabe Zeiten'!M:AV,14,0))</f>
        <v>ADW</v>
      </c>
      <c r="O25" s="207" t="str">
        <f>IF(ISBLANK($D25),"",VLOOKUP($D25,'Ausgabe Zeiten'!M:AV,19,0))</f>
        <v>ADW</v>
      </c>
      <c r="P25" s="207" t="str">
        <f>IF(ISBLANK($D25),"",VLOOKUP($D25,'Ausgabe Zeiten'!M:AV,24,0))</f>
        <v>ADW</v>
      </c>
      <c r="Q25" s="207">
        <f>IF(ISBLANK($D25),"",VLOOKUP($D25,'Ausgabe Zeiten'!M:AV,29,0))</f>
        <v>0</v>
      </c>
      <c r="R25" s="237">
        <f>IF(ISBLANK($D25),"",VLOOKUP($D25,'Ausgabe Zeiten'!M:AV,35,0))</f>
        <v>0</v>
      </c>
      <c r="S25" s="241" t="str">
        <f>IF(ISBLANK($D25),"",VLOOKUP($D25,'Ausgabe Zeiten'!M:AV,36,0))</f>
        <v>ADW</v>
      </c>
      <c r="T25" s="239">
        <v>0</v>
      </c>
      <c r="V25" s="208" t="e">
        <f t="shared" si="1"/>
        <v>#VALUE!</v>
      </c>
      <c r="W25" s="198" t="str">
        <f t="shared" si="5"/>
        <v>Sortierung A bis Z</v>
      </c>
      <c r="X25" s="208"/>
    </row>
    <row r="26" spans="2:24" s="197" customFormat="1" ht="27.75" customHeight="1">
      <c r="B26" s="188">
        <f t="shared" si="4"/>
        <v>20</v>
      </c>
      <c r="C26" s="190" t="str">
        <f>IF(ISBLANK(D26),"",IF(B26&lt;=$Z$2,"G",IF(AND(B26&gt;$Z$2,B26&lt;=$Z$3),"S",IF(AND(B26&gt;$Z$3,B26&lt;=$Z$4),"B","E"))))</f>
        <v>E</v>
      </c>
      <c r="D26" s="205">
        <v>36</v>
      </c>
      <c r="E26" s="181" t="str">
        <f>IF(ISBLANK($D26),"",VLOOKUP($D26,Teilnehmer!$B$4:$K$199,4,0))</f>
        <v>Schwarz Timo</v>
      </c>
      <c r="F26" s="181" t="str">
        <f>IF(ISBLANK($D26),"",VLOOKUP($D26,Teilnehmer!$B$4:$K$199,5,0))</f>
        <v>-</v>
      </c>
      <c r="G26" s="192" t="str">
        <f>IF(ISBLANK($D26),"",VLOOKUP($D26,Teilnehmer!$B$4:$K$199,6,0))</f>
        <v>-</v>
      </c>
      <c r="H26" s="181" t="str">
        <f>IF(ISBLANK($D26),"",VLOOKUP($D26,Teilnehmer!$B$4:$K$199,7,0))</f>
        <v>Himmelstoß Florian</v>
      </c>
      <c r="I26" s="181" t="str">
        <f>IF(ISBLANK($D26),"",VLOOKUP($D26,Teilnehmer!$B$4:$K$199,8,0))</f>
        <v>-</v>
      </c>
      <c r="J26" s="192" t="str">
        <f>IF(ISBLANK($D26),"",VLOOKUP($D26,Teilnehmer!$B$4:$K$199,9,0))</f>
        <v>-</v>
      </c>
      <c r="K26" s="206" t="str">
        <f>IF(ISBLANK($D26),"",VLOOKUP($D26,Teilnehmer!$B$4:$K$199,10,0))</f>
        <v>Opel Manta B</v>
      </c>
      <c r="L26" s="207" t="str">
        <f>IF(ISBLANK($D26),"",VLOOKUP($D26,'Ausgabe Zeiten'!M:AV,4,0))</f>
        <v>ADW</v>
      </c>
      <c r="M26" s="207" t="str">
        <f>IF(ISBLANK($D26),"",VLOOKUP($D26,'Ausgabe Zeiten'!M:AV,9,0))</f>
        <v>ADW</v>
      </c>
      <c r="N26" s="207" t="str">
        <f>IF(ISBLANK($D26),"",VLOOKUP($D26,'Ausgabe Zeiten'!M:AV,14,0))</f>
        <v>ADW</v>
      </c>
      <c r="O26" s="207" t="str">
        <f>IF(ISBLANK($D26),"",VLOOKUP($D26,'Ausgabe Zeiten'!M:AV,19,0))</f>
        <v>ADW</v>
      </c>
      <c r="P26" s="207" t="str">
        <f>IF(ISBLANK($D26),"",VLOOKUP($D26,'Ausgabe Zeiten'!M:AV,24,0))</f>
        <v>ADW</v>
      </c>
      <c r="Q26" s="207">
        <f>IF(ISBLANK($D26),"",VLOOKUP($D26,'Ausgabe Zeiten'!M:AV,29,0))</f>
        <v>0</v>
      </c>
      <c r="R26" s="237">
        <f>IF(ISBLANK($D26),"",VLOOKUP($D26,'Ausgabe Zeiten'!M:AV,35,0))</f>
        <v>0</v>
      </c>
      <c r="S26" s="241" t="str">
        <f>IF(ISBLANK($D26),"",VLOOKUP($D26,'Ausgabe Zeiten'!M:AV,36,0))</f>
        <v>ADW</v>
      </c>
      <c r="T26" s="239">
        <v>0</v>
      </c>
      <c r="V26" s="208" t="e">
        <f t="shared" si="1"/>
        <v>#VALUE!</v>
      </c>
      <c r="W26" s="198" t="str">
        <f t="shared" si="5"/>
        <v>Sortierung A bis Z</v>
      </c>
      <c r="X26" s="208"/>
    </row>
    <row r="27" spans="2:24" s="197" customFormat="1">
      <c r="B27" s="209"/>
      <c r="C27" s="210"/>
      <c r="W27" s="211"/>
    </row>
    <row r="28" spans="2:24" s="13" customFormat="1">
      <c r="B28" s="12"/>
      <c r="C28" s="14"/>
      <c r="W28" s="149"/>
    </row>
    <row r="29" spans="2:24" s="13" customFormat="1">
      <c r="B29" s="12"/>
      <c r="C29" s="14"/>
      <c r="W29" s="149"/>
    </row>
    <row r="30" spans="2:24" s="13" customFormat="1">
      <c r="B30" s="12"/>
      <c r="C30" s="14"/>
      <c r="W30" s="149"/>
    </row>
    <row r="31" spans="2:24" s="13" customFormat="1">
      <c r="B31" s="12"/>
      <c r="C31" s="14"/>
      <c r="W31" s="149"/>
    </row>
    <row r="32" spans="2:24" s="13" customFormat="1">
      <c r="B32" s="12"/>
      <c r="C32" s="14"/>
      <c r="W32" s="149"/>
    </row>
    <row r="33" spans="2:23" s="13" customFormat="1">
      <c r="B33" s="12"/>
      <c r="C33" s="14"/>
      <c r="W33" s="149"/>
    </row>
    <row r="34" spans="2:23" s="13" customFormat="1">
      <c r="B34" s="12"/>
      <c r="C34" s="14"/>
      <c r="W34" s="149"/>
    </row>
    <row r="35" spans="2:23" s="13" customFormat="1">
      <c r="B35" s="12"/>
      <c r="C35" s="14"/>
      <c r="W35" s="149"/>
    </row>
    <row r="36" spans="2:23" s="13" customFormat="1">
      <c r="B36" s="12"/>
      <c r="C36" s="14"/>
      <c r="W36" s="149"/>
    </row>
    <row r="37" spans="2:23" s="13" customFormat="1">
      <c r="B37" s="12"/>
      <c r="C37" s="14"/>
      <c r="W37" s="149"/>
    </row>
    <row r="38" spans="2:23" s="13" customFormat="1">
      <c r="B38" s="12"/>
      <c r="C38" s="14"/>
      <c r="W38" s="149"/>
    </row>
    <row r="39" spans="2:23" s="13" customFormat="1">
      <c r="B39" s="12"/>
      <c r="C39" s="14"/>
      <c r="W39" s="149"/>
    </row>
    <row r="40" spans="2:23" s="13" customFormat="1">
      <c r="B40" s="12"/>
      <c r="C40" s="14"/>
      <c r="W40" s="149"/>
    </row>
    <row r="41" spans="2:23" s="13" customFormat="1">
      <c r="B41" s="12"/>
      <c r="C41" s="14"/>
      <c r="W41" s="149"/>
    </row>
  </sheetData>
  <autoFilter ref="C6:S6" xr:uid="{7B828EDB-901C-404C-98B5-E64A905CC40B}">
    <sortState xmlns:xlrd2="http://schemas.microsoft.com/office/spreadsheetml/2017/richdata2" ref="C7:S26">
      <sortCondition ref="S6"/>
    </sortState>
  </autoFilter>
  <mergeCells count="2">
    <mergeCell ref="V3:V6"/>
    <mergeCell ref="W3:W6"/>
  </mergeCells>
  <conditionalFormatting sqref="L5">
    <cfRule type="cellIs" dxfId="43" priority="6" operator="lessThan">
      <formula>0</formula>
    </cfRule>
    <cfRule type="cellIs" dxfId="42" priority="7" operator="greaterThan">
      <formula>0</formula>
    </cfRule>
  </conditionalFormatting>
  <conditionalFormatting sqref="V1:V3 V7:V1048576">
    <cfRule type="cellIs" dxfId="41" priority="9" operator="equal">
      <formula>"X"</formula>
    </cfRule>
  </conditionalFormatting>
  <conditionalFormatting sqref="W1:W3 W7:W1048576">
    <cfRule type="cellIs" dxfId="40" priority="8" operator="equal">
      <formula>"Sortierung A bis Z"</formula>
    </cfRule>
  </conditionalFormatting>
  <conditionalFormatting sqref="D7:D26">
    <cfRule type="duplicateValues" dxfId="39" priority="1418"/>
  </conditionalFormatting>
  <pageMargins left="0.70866141732283472" right="0.70866141732283472" top="0.78740157480314965" bottom="0.78740157480314965" header="0.31496062992125984" footer="0.31496062992125984"/>
  <pageSetup paperSize="9" scale="64"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9d6120c-fed7-4133-a0d9-155ea58b0f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EE0915B6DCBB04AB0E98DE0A06361D2" ma:contentTypeVersion="18" ma:contentTypeDescription="Ein neues Dokument erstellen." ma:contentTypeScope="" ma:versionID="b818d2cf13ea4be8116c19e6b9542147">
  <xsd:schema xmlns:xsd="http://www.w3.org/2001/XMLSchema" xmlns:xs="http://www.w3.org/2001/XMLSchema" xmlns:p="http://schemas.microsoft.com/office/2006/metadata/properties" xmlns:ns3="8f8f8fa0-e950-4217-a4fb-63600138e529" xmlns:ns4="99d6120c-fed7-4133-a0d9-155ea58b0fdf" targetNamespace="http://schemas.microsoft.com/office/2006/metadata/properties" ma:root="true" ma:fieldsID="e293aa72bcddb35737fb9e89b5759731" ns3:_="" ns4:_="">
    <xsd:import namespace="8f8f8fa0-e950-4217-a4fb-63600138e529"/>
    <xsd:import namespace="99d6120c-fed7-4133-a0d9-155ea58b0fd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AutoKeyPoints" minOccurs="0"/>
                <xsd:element ref="ns4:MediaServiceKeyPoints"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f8fa0-e950-4217-a4fb-63600138e529"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description="" ma:internalName="SharedWithDetails" ma:readOnly="true">
      <xsd:simpleType>
        <xsd:restriction base="dms:Note">
          <xsd:maxLength value="255"/>
        </xsd:restriction>
      </xsd:simpleType>
    </xsd:element>
    <xsd:element name="SharingHintHash" ma:index="10" nillable="true" ma:displayName="Freigabehinweis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6120c-fed7-4133-a0d9-155ea58b0fd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C06C4C-18A8-447D-A378-339611AE3943}"/>
</file>

<file path=customXml/itemProps2.xml><?xml version="1.0" encoding="utf-8"?>
<ds:datastoreItem xmlns:ds="http://schemas.openxmlformats.org/officeDocument/2006/customXml" ds:itemID="{8F491C2B-9F93-4A9A-8CA1-DFC3A1DB9331}"/>
</file>

<file path=customXml/itemProps3.xml><?xml version="1.0" encoding="utf-8"?>
<ds:datastoreItem xmlns:ds="http://schemas.openxmlformats.org/officeDocument/2006/customXml" ds:itemID="{717385AF-F730-43FC-A34A-9B5C1D24A6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Angebrandt</dc:creator>
  <cp:keywords/>
  <dc:description/>
  <cp:lastModifiedBy/>
  <cp:revision/>
  <dcterms:created xsi:type="dcterms:W3CDTF">2019-09-25T13:04:32Z</dcterms:created>
  <dcterms:modified xsi:type="dcterms:W3CDTF">2024-04-07T16:54:38Z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0x0101000EE0915B6DCBB04AB0E98DE0A06361D2</vt:lpwstr>
  </property>
</Properties>
</file>